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\Downloads\"/>
    </mc:Choice>
  </mc:AlternateContent>
  <bookViews>
    <workbookView xWindow="0" yWindow="0" windowWidth="15345" windowHeight="4575"/>
  </bookViews>
  <sheets>
    <sheet name="NOTAS" sheetId="12" r:id="rId1"/>
    <sheet name="DATOS ENTRADA" sheetId="7" r:id="rId2"/>
    <sheet name="OPCIÓN 4_1_2 INICIO CLAUS_2024" sheetId="10" r:id="rId3"/>
    <sheet name="OPCIÓN 4_2 INICIO CLAUS_2024" sheetId="11" r:id="rId4"/>
    <sheet name="OPCIÓN 4_1_2 INICIO CLAUS_2025" sheetId="8" r:id="rId5"/>
    <sheet name="OPCIÓN 4_2 INICIO CLAUS_2025" sheetId="9" r:id="rId6"/>
    <sheet name="COMPARATIVA RESULTADOS" sheetId="6" r:id="rId7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8" l="1"/>
  <c r="H11" i="8"/>
  <c r="H10" i="8"/>
  <c r="H9" i="8"/>
  <c r="H8" i="8"/>
  <c r="H7" i="8"/>
  <c r="H6" i="8"/>
  <c r="H12" i="10"/>
  <c r="H11" i="10"/>
  <c r="H10" i="10"/>
  <c r="H9" i="10"/>
  <c r="H8" i="10"/>
  <c r="H7" i="10"/>
  <c r="H6" i="10"/>
  <c r="J16" i="10" l="1"/>
  <c r="C12" i="9" l="1"/>
  <c r="C11" i="9"/>
  <c r="C10" i="9"/>
  <c r="C9" i="9"/>
  <c r="C8" i="9"/>
  <c r="C7" i="9"/>
  <c r="C6" i="9"/>
  <c r="C12" i="8"/>
  <c r="C11" i="8"/>
  <c r="C10" i="8"/>
  <c r="C9" i="8"/>
  <c r="C8" i="8"/>
  <c r="C7" i="8"/>
  <c r="C6" i="8"/>
  <c r="C12" i="11"/>
  <c r="C11" i="11"/>
  <c r="C10" i="11"/>
  <c r="C9" i="11"/>
  <c r="C8" i="11"/>
  <c r="C7" i="11"/>
  <c r="C6" i="11"/>
  <c r="C12" i="10"/>
  <c r="C11" i="10"/>
  <c r="C10" i="10"/>
  <c r="C9" i="10"/>
  <c r="C8" i="10"/>
  <c r="C7" i="10"/>
  <c r="C6" i="10"/>
  <c r="J5" i="6" l="1"/>
  <c r="I5" i="6"/>
  <c r="H5" i="6"/>
  <c r="L16" i="11"/>
  <c r="K16" i="11"/>
  <c r="J16" i="11"/>
  <c r="E6" i="11"/>
  <c r="E7" i="11" s="1"/>
  <c r="B4" i="11"/>
  <c r="B5" i="11" s="1"/>
  <c r="B6" i="11" s="1"/>
  <c r="B7" i="11" s="1"/>
  <c r="L16" i="10"/>
  <c r="K16" i="10"/>
  <c r="L16" i="8"/>
  <c r="K16" i="8"/>
  <c r="J16" i="8"/>
  <c r="I6" i="10"/>
  <c r="E6" i="10"/>
  <c r="E7" i="10" s="1"/>
  <c r="B6" i="10"/>
  <c r="B7" i="10" s="1"/>
  <c r="F7" i="10" s="1"/>
  <c r="G7" i="10" s="1"/>
  <c r="F6" i="6" l="1"/>
  <c r="C6" i="6"/>
  <c r="H6" i="11"/>
  <c r="I6" i="11" s="1"/>
  <c r="E11" i="6"/>
  <c r="C11" i="6"/>
  <c r="B11" i="6"/>
  <c r="F11" i="6"/>
  <c r="F7" i="11"/>
  <c r="G7" i="11" s="1"/>
  <c r="B8" i="11"/>
  <c r="H7" i="11"/>
  <c r="I7" i="11" s="1"/>
  <c r="E8" i="11"/>
  <c r="F6" i="11"/>
  <c r="I7" i="10"/>
  <c r="J7" i="10" s="1"/>
  <c r="K7" i="10" s="1"/>
  <c r="B6" i="6" s="1"/>
  <c r="E8" i="10"/>
  <c r="B8" i="10"/>
  <c r="F6" i="10"/>
  <c r="G6" i="10" s="1"/>
  <c r="J6" i="10" s="1"/>
  <c r="K6" i="10" s="1"/>
  <c r="B5" i="6" s="1"/>
  <c r="J7" i="11" l="1"/>
  <c r="K7" i="11" s="1"/>
  <c r="B9" i="11"/>
  <c r="F8" i="11"/>
  <c r="G8" i="11" s="1"/>
  <c r="G6" i="11"/>
  <c r="J6" i="11" s="1"/>
  <c r="K6" i="11" s="1"/>
  <c r="C5" i="6" s="1"/>
  <c r="H8" i="11"/>
  <c r="I8" i="11" s="1"/>
  <c r="E9" i="11"/>
  <c r="F8" i="10"/>
  <c r="B9" i="10"/>
  <c r="E9" i="10"/>
  <c r="I8" i="10"/>
  <c r="B10" i="11" l="1"/>
  <c r="F9" i="11"/>
  <c r="H9" i="11"/>
  <c r="I9" i="11" s="1"/>
  <c r="E10" i="11"/>
  <c r="J8" i="11"/>
  <c r="K8" i="11" s="1"/>
  <c r="C7" i="6" s="1"/>
  <c r="G8" i="10"/>
  <c r="J8" i="10" s="1"/>
  <c r="K8" i="10" s="1"/>
  <c r="B7" i="6" s="1"/>
  <c r="I9" i="10"/>
  <c r="E10" i="10"/>
  <c r="F9" i="10"/>
  <c r="G9" i="10" s="1"/>
  <c r="B10" i="10"/>
  <c r="J9" i="10" l="1"/>
  <c r="K9" i="10" s="1"/>
  <c r="B8" i="6" s="1"/>
  <c r="H10" i="11"/>
  <c r="I10" i="11" s="1"/>
  <c r="E11" i="11"/>
  <c r="G9" i="11"/>
  <c r="J9" i="11" s="1"/>
  <c r="K9" i="11" s="1"/>
  <c r="C8" i="6" s="1"/>
  <c r="B11" i="11"/>
  <c r="F10" i="11"/>
  <c r="G10" i="11" s="1"/>
  <c r="J10" i="11" s="1"/>
  <c r="K10" i="11" s="1"/>
  <c r="C9" i="6" s="1"/>
  <c r="F10" i="10"/>
  <c r="B11" i="10"/>
  <c r="E11" i="10"/>
  <c r="I10" i="10"/>
  <c r="B12" i="11" l="1"/>
  <c r="F12" i="11" s="1"/>
  <c r="G12" i="11" s="1"/>
  <c r="F11" i="11"/>
  <c r="G11" i="11" s="1"/>
  <c r="H11" i="11"/>
  <c r="I11" i="11" s="1"/>
  <c r="E12" i="11"/>
  <c r="H12" i="11" s="1"/>
  <c r="I12" i="11" s="1"/>
  <c r="I11" i="10"/>
  <c r="E12" i="10"/>
  <c r="I12" i="10" s="1"/>
  <c r="G10" i="10"/>
  <c r="J10" i="10" s="1"/>
  <c r="K10" i="10" s="1"/>
  <c r="B9" i="6" s="1"/>
  <c r="F11" i="10"/>
  <c r="G11" i="10" s="1"/>
  <c r="B12" i="10"/>
  <c r="F12" i="10" s="1"/>
  <c r="G12" i="10" s="1"/>
  <c r="J12" i="10" l="1"/>
  <c r="K12" i="10" s="1"/>
  <c r="E23" i="11"/>
  <c r="C14" i="6" s="1"/>
  <c r="J11" i="11"/>
  <c r="K11" i="11" s="1"/>
  <c r="J12" i="11"/>
  <c r="K12" i="11" s="1"/>
  <c r="J11" i="10"/>
  <c r="K11" i="10" s="1"/>
  <c r="E23" i="10"/>
  <c r="B14" i="6" s="1"/>
  <c r="C24" i="6" l="1"/>
  <c r="E19" i="11"/>
  <c r="E28" i="11" s="1"/>
  <c r="C17" i="6" s="1"/>
  <c r="C10" i="6"/>
  <c r="C12" i="6" s="1"/>
  <c r="E19" i="10"/>
  <c r="E28" i="10" s="1"/>
  <c r="B17" i="6" s="1"/>
  <c r="B10" i="6"/>
  <c r="B12" i="6" s="1"/>
  <c r="C23" i="6" l="1"/>
  <c r="C25" i="6" s="1"/>
  <c r="L16" i="9"/>
  <c r="F6" i="9"/>
  <c r="G6" i="9" s="1"/>
  <c r="K16" i="9"/>
  <c r="J16" i="9"/>
  <c r="E6" i="9"/>
  <c r="E7" i="9" s="1"/>
  <c r="B4" i="9"/>
  <c r="B5" i="9" s="1"/>
  <c r="B6" i="9" s="1"/>
  <c r="B7" i="9" s="1"/>
  <c r="I6" i="8"/>
  <c r="E6" i="8"/>
  <c r="E7" i="8" s="1"/>
  <c r="B6" i="8"/>
  <c r="B7" i="8" s="1"/>
  <c r="B8" i="8" s="1"/>
  <c r="H6" i="9" l="1"/>
  <c r="I6" i="9" s="1"/>
  <c r="J6" i="9" s="1"/>
  <c r="K6" i="9" s="1"/>
  <c r="F5" i="6" s="1"/>
  <c r="F6" i="8"/>
  <c r="G6" i="8" s="1"/>
  <c r="J6" i="8" s="1"/>
  <c r="K6" i="8" s="1"/>
  <c r="E5" i="6" s="1"/>
  <c r="B8" i="9"/>
  <c r="F7" i="9"/>
  <c r="G7" i="9" s="1"/>
  <c r="H7" i="9"/>
  <c r="I7" i="9" s="1"/>
  <c r="E8" i="9"/>
  <c r="I7" i="8"/>
  <c r="E8" i="8"/>
  <c r="F8" i="8"/>
  <c r="G8" i="8" s="1"/>
  <c r="B9" i="8"/>
  <c r="F7" i="8"/>
  <c r="G7" i="8" s="1"/>
  <c r="J7" i="9" l="1"/>
  <c r="K7" i="9" s="1"/>
  <c r="J7" i="8"/>
  <c r="K7" i="8" s="1"/>
  <c r="E6" i="6" s="1"/>
  <c r="B9" i="9"/>
  <c r="F8" i="9"/>
  <c r="H8" i="9"/>
  <c r="I8" i="9" s="1"/>
  <c r="E9" i="9"/>
  <c r="F9" i="8"/>
  <c r="G9" i="8" s="1"/>
  <c r="B10" i="8"/>
  <c r="I8" i="8"/>
  <c r="J8" i="8" s="1"/>
  <c r="K8" i="8" s="1"/>
  <c r="E7" i="6" s="1"/>
  <c r="E9" i="8"/>
  <c r="G8" i="9" l="1"/>
  <c r="J8" i="9" s="1"/>
  <c r="K8" i="9" s="1"/>
  <c r="F7" i="6" s="1"/>
  <c r="B10" i="9"/>
  <c r="F9" i="9"/>
  <c r="G9" i="9" s="1"/>
  <c r="H9" i="9"/>
  <c r="I9" i="9" s="1"/>
  <c r="E10" i="9"/>
  <c r="I9" i="8"/>
  <c r="J9" i="8" s="1"/>
  <c r="K9" i="8" s="1"/>
  <c r="E8" i="6" s="1"/>
  <c r="E10" i="8"/>
  <c r="B11" i="8"/>
  <c r="F10" i="8"/>
  <c r="B11" i="9" l="1"/>
  <c r="F10" i="9"/>
  <c r="E11" i="9"/>
  <c r="H10" i="9"/>
  <c r="I10" i="9" s="1"/>
  <c r="J9" i="9"/>
  <c r="K9" i="9" s="1"/>
  <c r="F8" i="6" s="1"/>
  <c r="G10" i="8"/>
  <c r="J10" i="8" s="1"/>
  <c r="K10" i="8" s="1"/>
  <c r="E9" i="6" s="1"/>
  <c r="F11" i="8"/>
  <c r="G11" i="8" s="1"/>
  <c r="B12" i="8"/>
  <c r="F12" i="8" s="1"/>
  <c r="G12" i="8" s="1"/>
  <c r="I10" i="8"/>
  <c r="E11" i="8"/>
  <c r="E23" i="8" l="1"/>
  <c r="E14" i="6" s="1"/>
  <c r="G10" i="9"/>
  <c r="J10" i="9" s="1"/>
  <c r="K10" i="9" s="1"/>
  <c r="F9" i="6" s="1"/>
  <c r="H11" i="9"/>
  <c r="I11" i="9" s="1"/>
  <c r="E12" i="9"/>
  <c r="H12" i="9" s="1"/>
  <c r="I12" i="9" s="1"/>
  <c r="F11" i="9"/>
  <c r="G11" i="9" s="1"/>
  <c r="J11" i="9" s="1"/>
  <c r="K11" i="9" s="1"/>
  <c r="F10" i="6" s="1"/>
  <c r="B12" i="9"/>
  <c r="F12" i="9" s="1"/>
  <c r="G12" i="9" s="1"/>
  <c r="I11" i="8"/>
  <c r="J11" i="8" s="1"/>
  <c r="K11" i="8" s="1"/>
  <c r="E10" i="6" s="1"/>
  <c r="E12" i="6" s="1"/>
  <c r="E12" i="8"/>
  <c r="I12" i="8" s="1"/>
  <c r="J12" i="8" s="1"/>
  <c r="K12" i="8" s="1"/>
  <c r="B31" i="6" l="1"/>
  <c r="C31" i="6"/>
  <c r="B32" i="6"/>
  <c r="C32" i="6"/>
  <c r="F12" i="6"/>
  <c r="J12" i="9"/>
  <c r="K12" i="9" s="1"/>
  <c r="E19" i="9"/>
  <c r="E23" i="9"/>
  <c r="F14" i="6" s="1"/>
  <c r="F32" i="6" s="1"/>
  <c r="E19" i="8"/>
  <c r="E28" i="8" s="1"/>
  <c r="E17" i="6" s="1"/>
  <c r="F23" i="6" l="1"/>
  <c r="F31" i="6"/>
  <c r="F33" i="6" s="1"/>
  <c r="C33" i="6"/>
  <c r="B33" i="6"/>
  <c r="F24" i="6"/>
  <c r="E28" i="9"/>
  <c r="F17" i="6" s="1"/>
  <c r="F25" i="6" l="1"/>
</calcChain>
</file>

<file path=xl/comments1.xml><?xml version="1.0" encoding="utf-8"?>
<comments xmlns="http://schemas.openxmlformats.org/spreadsheetml/2006/main">
  <authors>
    <author>alejandroagarciagara@gmail.com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 xml:space="preserve">AÑOS COTIZADOS:
- MÁS DE 44 AÑOS Y 6 MESES 12%
- DESDE 41 AÑOS Y 6 MESES 13%
- DESDE 38 AÑOS Y 6 MESES 14 %
- HASTA 38 AÑOS Y 5 MESES 15 %
</t>
        </r>
      </text>
    </comment>
  </commentList>
</comments>
</file>

<file path=xl/sharedStrings.xml><?xml version="1.0" encoding="utf-8"?>
<sst xmlns="http://schemas.openxmlformats.org/spreadsheetml/2006/main" count="225" uniqueCount="79">
  <si>
    <t>Importe</t>
  </si>
  <si>
    <t>Base Real</t>
  </si>
  <si>
    <t>Cuota real</t>
  </si>
  <si>
    <t>Calculo de la cuota</t>
  </si>
  <si>
    <t>CUOTA CLAUSULA ADICIONAL</t>
  </si>
  <si>
    <t>% que asume Caixa
(límite 3%)</t>
  </si>
  <si>
    <t>Base x (28,3% x 94% + 0,7%)</t>
  </si>
  <si>
    <t>Base x (28,3% x 94% + 0,8%)</t>
  </si>
  <si>
    <t>Cuota  a cargo trabajador
(mensual)</t>
  </si>
  <si>
    <t>Cuota  a cargo trabajador
(anual)</t>
  </si>
  <si>
    <t>Base máxima que
 asume Caixa</t>
  </si>
  <si>
    <t>2026*</t>
  </si>
  <si>
    <t>2027*</t>
  </si>
  <si>
    <t>2028*</t>
  </si>
  <si>
    <t>2029*</t>
  </si>
  <si>
    <t>2030*</t>
  </si>
  <si>
    <t>TRABAJADOR</t>
  </si>
  <si>
    <t>TOTAL SEG.SOC.</t>
  </si>
  <si>
    <t>A PAGAR POR</t>
  </si>
  <si>
    <t>AÑO</t>
  </si>
  <si>
    <t>Cuota que asume 
Caixa</t>
  </si>
  <si>
    <t>Base que asume
CAIXA</t>
  </si>
  <si>
    <t>4.1.2: OPCIÓN INCREMENTO DE LA BASE DE CONVENIO
SOBRE LA BASE MÁXIMA DEL GRUPO DE COTIZACIÓN</t>
  </si>
  <si>
    <t>2024*</t>
  </si>
  <si>
    <t>2025*</t>
  </si>
  <si>
    <t>Base x (28,3% x 94% + 0,9%)</t>
  </si>
  <si>
    <t>Base x (28,3% x 94% + 1,1%)</t>
  </si>
  <si>
    <t>Base x (28,3% x 94% + 1,2%)</t>
  </si>
  <si>
    <t>Base x (28,3% x 94% +1,2%)</t>
  </si>
  <si>
    <t>* Aplica si la pensión estimada es inferior al 96 % pensión máxima</t>
  </si>
  <si>
    <t>Base x (28,3% x 94% + 1,0%)</t>
  </si>
  <si>
    <t>PENSIÓN ADICIONAL GENERADA POR  CLÁUSULA</t>
  </si>
  <si>
    <t>AÑOS PARA RECUPERAR COSTE CLÁUSULA</t>
  </si>
  <si>
    <t>* Sin co nsiderar efectos fiscales ni costes financieros</t>
  </si>
  <si>
    <t>4.2: OPCIÓN COMPLEMENTO HASTA BASE MÁXIMA DEL GRUPO DE COTIZACIÓN</t>
  </si>
  <si>
    <t>PREVISION 
AUMENTO IPC</t>
  </si>
  <si>
    <t>RESUMEN RESULTADOS</t>
  </si>
  <si>
    <t>COSTE TOTAL TRABAJADOR</t>
  </si>
  <si>
    <t>(APLICA HASTA COMPLETAR 96 % PENSIÓN MÁXIMA)</t>
  </si>
  <si>
    <t>ASPECTOS INCLUIDOS EN LOS CÁLCULOS</t>
  </si>
  <si>
    <t>- Porcentaje adicional del 1,2 % aplicable a la subida de la base máxima a partir de 2024</t>
  </si>
  <si>
    <t>- Ajuste coste a la seguridad social asociado al MEI (Mecanismo equidad intergeneracional)</t>
  </si>
  <si>
    <t>INCREMENTO TEÓRICO PENSIÓN POR CLÁUSULA</t>
  </si>
  <si>
    <t>OJO ********* ESTOS CÁLCULOS SON ESTIMATIVOS Y DEBERÍAN SER CONTRASTADOS CON LAS ESTIMACIONES QUE CADA UNO TENGA SOBRE LA SUSCRIPCIÓN DE LA CLÁUSULA DE REVISIÓN DEL CEES</t>
  </si>
  <si>
    <t>4_1_2</t>
  </si>
  <si>
    <t>AÑO INICIO CLAÚSULA</t>
  </si>
  <si>
    <t>4_2</t>
  </si>
  <si>
    <t>JUBILACIÓN</t>
  </si>
  <si>
    <t>MES</t>
  </si>
  <si>
    <t>INICIO CLAÚSULA</t>
  </si>
  <si>
    <t>% PENALIZACIÓN</t>
  </si>
  <si>
    <t>INTRODUCE DATOS JUBILACIÓN</t>
  </si>
  <si>
    <t>% ESTIMADO REVALORIZACIÓN</t>
  </si>
  <si>
    <t>PARA OBTENER LA INFORMACIÓN DEBERÁN COMPLETARSE LOS SIGUIENTES CAMPOS EN HOJA "DATOS ENTRADA"</t>
  </si>
  <si>
    <r>
      <t xml:space="preserve"> </t>
    </r>
    <r>
      <rPr>
        <b/>
        <sz val="11"/>
        <color theme="3" tint="-0.249977111117893"/>
        <rFont val="Calibri"/>
        <family val="2"/>
        <scheme val="minor"/>
      </rPr>
      <t>% INCREMENTO IPC</t>
    </r>
    <r>
      <rPr>
        <sz val="11"/>
        <color theme="3" tint="-0.249977111117893"/>
        <rFont val="Calibri"/>
        <family val="2"/>
        <scheme val="minor"/>
      </rPr>
      <t xml:space="preserve"> - CELDAS D7 A D13</t>
    </r>
  </si>
  <si>
    <r>
      <rPr>
        <b/>
        <sz val="11"/>
        <color theme="3" tint="-0.249977111117893"/>
        <rFont val="Calibri"/>
        <family val="2"/>
        <scheme val="minor"/>
      </rPr>
      <t>MES Y AÑO DE JUBILACIÓN</t>
    </r>
    <r>
      <rPr>
        <sz val="11"/>
        <color theme="3" tint="-0.249977111117893"/>
        <rFont val="Calibri"/>
        <family val="2"/>
        <scheme val="minor"/>
      </rPr>
      <t xml:space="preserve"> - CELDAS B3 Y C3 respectivamente</t>
    </r>
  </si>
  <si>
    <r>
      <rPr>
        <b/>
        <sz val="11"/>
        <color theme="3" tint="-0.249977111117893"/>
        <rFont val="Calibri"/>
        <family val="2"/>
        <scheme val="minor"/>
      </rPr>
      <t>PORCENTAJE PENALIZACIÓN EN JUBILACIÓN ANTICIPADA INVOLUNTARIA CON ANTICIPO DE 48 MESES</t>
    </r>
    <r>
      <rPr>
        <sz val="11"/>
        <color theme="3" tint="-0.249977111117893"/>
        <rFont val="Calibri"/>
        <family val="2"/>
        <scheme val="minor"/>
      </rPr>
      <t xml:space="preserve"> - CELDA D3</t>
    </r>
  </si>
  <si>
    <t>HOJAS de los resultados obtenidos para las OPCIONES 4_1_2 y 4_2 considerando fecha de inicio de la adhesión a la cláusula 2024 y la misma información considerando inicio 2025.</t>
  </si>
  <si>
    <t>HOJA CON LA COMPARATIVA DE RESULTADOS DE LAS DIFERENTES OPCIONES</t>
  </si>
  <si>
    <t>OPCIÓN</t>
  </si>
  <si>
    <t>COSTE AÑO 2024</t>
  </si>
  <si>
    <t>COSTE AÑO 2025</t>
  </si>
  <si>
    <t>COSTE AÑO 2026</t>
  </si>
  <si>
    <t>COSTE AÑO 2027</t>
  </si>
  <si>
    <t>COSTE AÑO 2028</t>
  </si>
  <si>
    <t>COSTE AÑO 2029</t>
  </si>
  <si>
    <t>COSTE AÑO 2030</t>
  </si>
  <si>
    <t>INICIO AÑO 2024</t>
  </si>
  <si>
    <t>INICIO AÑO 2025</t>
  </si>
  <si>
    <t>(SIN EFECTO FISCAL NI FINANCIERO)</t>
  </si>
  <si>
    <t>Este porcentaje no incluye el 1,2 % adicional que se incrementan las bases máximas (ya incluido en los cálculos automáticamente)</t>
  </si>
  <si>
    <t>INFORMACIÓN DE SALIDA (5 HOJAS)</t>
  </si>
  <si>
    <t>COSTE ADICIONAL RESPECTO DE 4_1_2</t>
  </si>
  <si>
    <t>INCREMENTO TEÓRICO PENSIÓN ADICIONAL RESPECTO DE 4_1_2</t>
  </si>
  <si>
    <t>AÑOS PARA RECUPERAR COSTE ADICIONAL RESPECTO 4_1_2</t>
  </si>
  <si>
    <t>RESULTADO ADICIONAL OBTENIDO PARA CADA AÑO DE INICIO RESPECTO DE LO OBTENIDO EN 4_1_2</t>
  </si>
  <si>
    <t>RESULTADO ADICIONAL OBTENIDO RESPECTO DE LO OBTENIDO EN 2025-4_1_2</t>
  </si>
  <si>
    <t>(Para aquellos que tengan que elegir obligatoriamente uno de los 2 años, y no puedan elegir el otro)</t>
  </si>
  <si>
    <t>(Para aquellos que puedan elegir cualquiera de los dos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</si>
</sst>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10" fontId="2" fillId="6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0" fontId="2" fillId="6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/>
    <xf numFmtId="10" fontId="2" fillId="0" borderId="0" xfId="0" applyNumberFormat="1" applyFont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9" fillId="0" borderId="14" xfId="0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4" fillId="0" borderId="0" xfId="0" applyFont="1"/>
    <xf numFmtId="4" fontId="12" fillId="0" borderId="12" xfId="0" applyNumberFormat="1" applyFont="1" applyBorder="1" applyAlignment="1">
      <alignment horizontal="center"/>
    </xf>
    <xf numFmtId="0" fontId="11" fillId="0" borderId="0" xfId="0" applyFont="1"/>
    <xf numFmtId="9" fontId="4" fillId="0" borderId="0" xfId="0" applyNumberFormat="1" applyFont="1"/>
    <xf numFmtId="0" fontId="7" fillId="7" borderId="1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Continuous" vertical="center"/>
    </xf>
    <xf numFmtId="0" fontId="0" fillId="7" borderId="1" xfId="0" applyFill="1" applyBorder="1" applyAlignment="1">
      <alignment horizontal="centerContinuous"/>
    </xf>
    <xf numFmtId="0" fontId="6" fillId="7" borderId="1" xfId="0" applyFont="1" applyFill="1" applyBorder="1" applyAlignment="1">
      <alignment horizontal="center" vertical="center"/>
    </xf>
    <xf numFmtId="10" fontId="7" fillId="7" borderId="1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7" borderId="2" xfId="0" applyFont="1" applyFill="1" applyBorder="1" applyAlignment="1">
      <alignment horizontal="centerContinuous" vertical="center"/>
    </xf>
    <xf numFmtId="0" fontId="0" fillId="7" borderId="3" xfId="0" applyFill="1" applyBorder="1" applyAlignment="1">
      <alignment horizontal="centerContinuous" vertical="center"/>
    </xf>
    <xf numFmtId="0" fontId="0" fillId="7" borderId="4" xfId="0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20" fillId="0" borderId="1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7" fillId="7" borderId="1" xfId="0" applyFont="1" applyFill="1" applyBorder="1" applyAlignment="1" applyProtection="1">
      <alignment horizontal="center" vertical="center"/>
      <protection locked="0"/>
    </xf>
    <xf numFmtId="10" fontId="7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4" fontId="27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27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2" fontId="18" fillId="0" borderId="2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4" fontId="16" fillId="0" borderId="16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6" fillId="0" borderId="9" xfId="0" applyFont="1" applyBorder="1" applyAlignment="1">
      <alignment horizontal="center" vertical="center"/>
    </xf>
    <xf numFmtId="0" fontId="6" fillId="7" borderId="1" xfId="0" quotePrefix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8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quotePrefix="1" applyAlignment="1">
      <alignment vertical="center"/>
    </xf>
    <xf numFmtId="10" fontId="0" fillId="0" borderId="0" xfId="0" applyNumberFormat="1" applyAlignment="1">
      <alignment vertical="center"/>
    </xf>
    <xf numFmtId="0" fontId="22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vertical="center"/>
    </xf>
    <xf numFmtId="9" fontId="21" fillId="0" borderId="0" xfId="0" applyNumberFormat="1" applyFont="1"/>
    <xf numFmtId="0" fontId="24" fillId="4" borderId="0" xfId="0" applyFont="1" applyFill="1" applyAlignment="1">
      <alignment vertical="center"/>
    </xf>
    <xf numFmtId="10" fontId="24" fillId="4" borderId="0" xfId="0" applyNumberFormat="1" applyFont="1" applyFill="1" applyAlignment="1">
      <alignment vertical="center"/>
    </xf>
    <xf numFmtId="0" fontId="24" fillId="4" borderId="0" xfId="0" applyFont="1" applyFill="1"/>
    <xf numFmtId="0" fontId="0" fillId="4" borderId="0" xfId="0" applyFill="1"/>
    <xf numFmtId="0" fontId="25" fillId="4" borderId="0" xfId="0" applyFont="1" applyFill="1" applyAlignment="1">
      <alignment vertical="center"/>
    </xf>
    <xf numFmtId="10" fontId="25" fillId="4" borderId="0" xfId="0" applyNumberFormat="1" applyFont="1" applyFill="1" applyAlignment="1">
      <alignment vertical="center"/>
    </xf>
    <xf numFmtId="0" fontId="25" fillId="4" borderId="0" xfId="0" applyFont="1" applyFill="1"/>
    <xf numFmtId="0" fontId="25" fillId="4" borderId="0" xfId="0" quotePrefix="1" applyFont="1" applyFill="1" applyAlignment="1">
      <alignment vertical="center"/>
    </xf>
    <xf numFmtId="0" fontId="24" fillId="0" borderId="0" xfId="0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10" fontId="25" fillId="0" borderId="0" xfId="0" applyNumberFormat="1" applyFont="1" applyAlignment="1">
      <alignment vertical="center"/>
    </xf>
    <xf numFmtId="0" fontId="25" fillId="0" borderId="0" xfId="0" applyFont="1"/>
    <xf numFmtId="0" fontId="25" fillId="0" borderId="0" xfId="0" quotePrefix="1" applyFont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4" fontId="16" fillId="0" borderId="24" xfId="0" applyNumberFormat="1" applyFont="1" applyBorder="1" applyAlignment="1">
      <alignment horizontal="center" vertical="center"/>
    </xf>
    <xf numFmtId="2" fontId="18" fillId="0" borderId="24" xfId="0" applyNumberFormat="1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A23" sqref="A23"/>
    </sheetView>
  </sheetViews>
  <sheetFormatPr baseColWidth="10" defaultRowHeight="15" x14ac:dyDescent="0.25"/>
  <sheetData>
    <row r="1" spans="1:10" ht="18.75" x14ac:dyDescent="0.25">
      <c r="A1" s="69" t="s">
        <v>39</v>
      </c>
      <c r="B1" s="50"/>
      <c r="C1" s="50"/>
    </row>
    <row r="2" spans="1:10" x14ac:dyDescent="0.25">
      <c r="A2" s="51"/>
      <c r="B2" s="51"/>
      <c r="C2" s="51"/>
    </row>
    <row r="3" spans="1:10" x14ac:dyDescent="0.25">
      <c r="A3" s="101" t="s">
        <v>40</v>
      </c>
      <c r="B3" s="51"/>
      <c r="C3" s="51"/>
    </row>
    <row r="4" spans="1:10" x14ac:dyDescent="0.25">
      <c r="A4" s="101" t="s">
        <v>41</v>
      </c>
      <c r="B4" s="51"/>
      <c r="C4" s="51"/>
    </row>
    <row r="5" spans="1:10" x14ac:dyDescent="0.25">
      <c r="A5" s="51">
        <v>2024</v>
      </c>
      <c r="B5" s="102">
        <v>7.0000000000000001E-3</v>
      </c>
      <c r="C5" s="51"/>
    </row>
    <row r="6" spans="1:10" x14ac:dyDescent="0.25">
      <c r="A6" s="51">
        <v>2025</v>
      </c>
      <c r="B6" s="102">
        <v>8.0000000000000002E-3</v>
      </c>
      <c r="C6" s="51"/>
    </row>
    <row r="7" spans="1:10" x14ac:dyDescent="0.25">
      <c r="A7" s="51">
        <v>2026</v>
      </c>
      <c r="B7" s="102">
        <v>8.9999999999999993E-3</v>
      </c>
      <c r="C7" s="51"/>
    </row>
    <row r="8" spans="1:10" x14ac:dyDescent="0.25">
      <c r="A8" s="51">
        <v>2027</v>
      </c>
      <c r="B8" s="102">
        <v>0.01</v>
      </c>
      <c r="C8" s="51"/>
    </row>
    <row r="9" spans="1:10" x14ac:dyDescent="0.25">
      <c r="A9" s="51">
        <v>2028</v>
      </c>
      <c r="B9" s="102">
        <v>1.0999999999999999E-2</v>
      </c>
      <c r="C9" s="51"/>
    </row>
    <row r="10" spans="1:10" x14ac:dyDescent="0.25">
      <c r="A10" s="51">
        <v>2029</v>
      </c>
      <c r="B10" s="102">
        <v>1.2E-2</v>
      </c>
      <c r="C10" s="51"/>
    </row>
    <row r="11" spans="1:10" x14ac:dyDescent="0.25">
      <c r="A11" s="51"/>
      <c r="B11" s="102"/>
      <c r="C11" s="51"/>
    </row>
    <row r="12" spans="1:10" x14ac:dyDescent="0.25">
      <c r="A12" s="107" t="s">
        <v>53</v>
      </c>
      <c r="B12" s="108"/>
      <c r="C12" s="107"/>
      <c r="D12" s="109"/>
      <c r="E12" s="109"/>
      <c r="F12" s="109"/>
      <c r="G12" s="109"/>
      <c r="H12" s="109"/>
      <c r="I12" s="109"/>
      <c r="J12" s="110"/>
    </row>
    <row r="13" spans="1:10" x14ac:dyDescent="0.25">
      <c r="A13" s="111"/>
      <c r="B13" s="112"/>
      <c r="C13" s="111"/>
      <c r="D13" s="113"/>
      <c r="E13" s="113"/>
      <c r="F13" s="113"/>
      <c r="G13" s="113"/>
      <c r="H13" s="113"/>
      <c r="I13" s="113"/>
      <c r="J13" s="110"/>
    </row>
    <row r="14" spans="1:10" x14ac:dyDescent="0.25">
      <c r="A14" s="114" t="s">
        <v>54</v>
      </c>
      <c r="B14" s="112"/>
      <c r="C14" s="111"/>
      <c r="D14" s="113"/>
      <c r="E14" s="113"/>
      <c r="F14" s="113"/>
      <c r="G14" s="113"/>
      <c r="H14" s="113"/>
      <c r="I14" s="113"/>
      <c r="J14" s="110"/>
    </row>
    <row r="15" spans="1:10" x14ac:dyDescent="0.25">
      <c r="A15" s="114" t="s">
        <v>55</v>
      </c>
      <c r="B15" s="112"/>
      <c r="C15" s="111"/>
      <c r="D15" s="113"/>
      <c r="E15" s="113"/>
      <c r="F15" s="113"/>
      <c r="G15" s="113"/>
      <c r="H15" s="113"/>
      <c r="I15" s="113"/>
      <c r="J15" s="110"/>
    </row>
    <row r="16" spans="1:10" x14ac:dyDescent="0.25">
      <c r="A16" s="114" t="s">
        <v>56</v>
      </c>
      <c r="B16" s="112"/>
      <c r="C16" s="111"/>
      <c r="D16" s="113"/>
      <c r="E16" s="113"/>
      <c r="F16" s="113"/>
      <c r="G16" s="113"/>
      <c r="H16" s="113"/>
      <c r="I16" s="113"/>
      <c r="J16" s="110"/>
    </row>
    <row r="17" spans="1:8" x14ac:dyDescent="0.25">
      <c r="A17" s="51"/>
      <c r="B17" s="51"/>
      <c r="C17" s="51"/>
    </row>
    <row r="18" spans="1:8" x14ac:dyDescent="0.25">
      <c r="A18" s="115" t="s">
        <v>71</v>
      </c>
      <c r="B18" s="116"/>
      <c r="C18" s="115"/>
      <c r="D18" s="117"/>
      <c r="E18" s="117"/>
      <c r="F18" s="117"/>
      <c r="G18" s="117"/>
      <c r="H18" s="117"/>
    </row>
    <row r="19" spans="1:8" x14ac:dyDescent="0.25">
      <c r="A19" s="118"/>
      <c r="B19" s="119"/>
      <c r="C19" s="118"/>
      <c r="D19" s="120"/>
      <c r="E19" s="120"/>
      <c r="F19" s="120"/>
      <c r="G19" s="120"/>
      <c r="H19" s="120"/>
    </row>
    <row r="20" spans="1:8" x14ac:dyDescent="0.25">
      <c r="A20" s="121" t="s">
        <v>57</v>
      </c>
      <c r="B20" s="119"/>
      <c r="C20" s="118"/>
      <c r="D20" s="120"/>
      <c r="E20" s="120"/>
      <c r="F20" s="120"/>
      <c r="G20" s="120"/>
      <c r="H20" s="120"/>
    </row>
    <row r="21" spans="1:8" x14ac:dyDescent="0.25">
      <c r="A21" s="121" t="s">
        <v>58</v>
      </c>
      <c r="B21" s="119"/>
      <c r="C21" s="118"/>
      <c r="D21" s="120"/>
      <c r="E21" s="120"/>
      <c r="F21" s="120"/>
      <c r="G21" s="120"/>
      <c r="H21" s="120"/>
    </row>
    <row r="22" spans="1:8" x14ac:dyDescent="0.25">
      <c r="A22" s="121"/>
      <c r="B22" s="119"/>
      <c r="C22" s="118"/>
      <c r="D22" s="120"/>
      <c r="E22" s="120"/>
      <c r="F22" s="120"/>
      <c r="G22" s="120"/>
      <c r="H22" s="120"/>
    </row>
    <row r="23" spans="1:8" x14ac:dyDescent="0.25">
      <c r="A23" s="105" t="s">
        <v>43</v>
      </c>
      <c r="B23" s="51"/>
      <c r="C23" s="5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1"/>
  <sheetViews>
    <sheetView topLeftCell="B1" workbookViewId="0">
      <selection activeCell="F5" sqref="F5"/>
    </sheetView>
  </sheetViews>
  <sheetFormatPr baseColWidth="10" defaultRowHeight="15" x14ac:dyDescent="0.25"/>
  <cols>
    <col min="1" max="1" width="11" style="92" hidden="1" customWidth="1"/>
    <col min="2" max="3" width="11" style="92" customWidth="1"/>
    <col min="4" max="4" width="13.85546875" customWidth="1"/>
    <col min="5" max="5" width="13.7109375" customWidth="1"/>
    <col min="6" max="6" width="58" customWidth="1"/>
    <col min="7" max="8" width="15.7109375" customWidth="1"/>
    <col min="9" max="9" width="35.7109375" customWidth="1"/>
    <col min="10" max="10" width="18.7109375" customWidth="1"/>
  </cols>
  <sheetData>
    <row r="1" spans="4:6" ht="27" customHeight="1" x14ac:dyDescent="0.25"/>
    <row r="2" spans="4:6" ht="27" customHeight="1" thickBot="1" x14ac:dyDescent="0.3"/>
    <row r="3" spans="4:6" ht="27" thickBot="1" x14ac:dyDescent="0.3">
      <c r="D3" s="45" t="s">
        <v>51</v>
      </c>
      <c r="E3" s="46"/>
      <c r="F3" s="46"/>
    </row>
    <row r="4" spans="4:6" ht="27" thickBot="1" x14ac:dyDescent="0.3">
      <c r="D4" s="47" t="s">
        <v>48</v>
      </c>
      <c r="E4" s="47" t="s">
        <v>19</v>
      </c>
      <c r="F4" s="47" t="s">
        <v>50</v>
      </c>
    </row>
    <row r="5" spans="4:6" ht="29.25" thickBot="1" x14ac:dyDescent="0.3">
      <c r="D5" s="67">
        <v>4</v>
      </c>
      <c r="E5" s="67">
        <v>2029</v>
      </c>
      <c r="F5" s="68">
        <v>0.14000000000000001</v>
      </c>
    </row>
    <row r="6" spans="4:6" ht="24.95" customHeight="1" x14ac:dyDescent="0.25"/>
    <row r="7" spans="4:6" ht="24.95" customHeight="1" thickBot="1" x14ac:dyDescent="0.3"/>
    <row r="8" spans="4:6" ht="24.95" customHeight="1" thickBot="1" x14ac:dyDescent="0.3">
      <c r="D8" s="93"/>
      <c r="E8" s="47" t="s">
        <v>19</v>
      </c>
      <c r="F8" s="94" t="s">
        <v>52</v>
      </c>
    </row>
    <row r="9" spans="4:6" ht="24.95" customHeight="1" thickBot="1" x14ac:dyDescent="0.3">
      <c r="D9" s="95"/>
      <c r="E9" s="96">
        <v>2024</v>
      </c>
      <c r="F9" s="68">
        <v>4.9000000000000002E-2</v>
      </c>
    </row>
    <row r="10" spans="4:6" ht="24.95" customHeight="1" thickBot="1" x14ac:dyDescent="0.3">
      <c r="D10" s="95"/>
      <c r="E10" s="96">
        <v>2025</v>
      </c>
      <c r="F10" s="68">
        <v>3.5000000000000003E-2</v>
      </c>
    </row>
    <row r="11" spans="4:6" ht="24.95" customHeight="1" thickBot="1" x14ac:dyDescent="0.3">
      <c r="D11" s="95"/>
      <c r="E11" s="96">
        <v>2026</v>
      </c>
      <c r="F11" s="68">
        <v>0.03</v>
      </c>
    </row>
    <row r="12" spans="4:6" ht="24.95" customHeight="1" thickBot="1" x14ac:dyDescent="0.3">
      <c r="D12" s="95"/>
      <c r="E12" s="96">
        <v>2027</v>
      </c>
      <c r="F12" s="68">
        <v>0.03</v>
      </c>
    </row>
    <row r="13" spans="4:6" ht="24.95" customHeight="1" thickBot="1" x14ac:dyDescent="0.3">
      <c r="D13" s="95"/>
      <c r="E13" s="96">
        <v>2028</v>
      </c>
      <c r="F13" s="68">
        <v>0.03</v>
      </c>
    </row>
    <row r="14" spans="4:6" ht="24.95" customHeight="1" thickBot="1" x14ac:dyDescent="0.3">
      <c r="D14" s="95"/>
      <c r="E14" s="96">
        <v>2029</v>
      </c>
      <c r="F14" s="68">
        <v>0.03</v>
      </c>
    </row>
    <row r="15" spans="4:6" ht="24.95" customHeight="1" thickBot="1" x14ac:dyDescent="0.3">
      <c r="D15" s="95"/>
      <c r="E15" s="96">
        <v>2030</v>
      </c>
      <c r="F15" s="68">
        <v>0.03</v>
      </c>
    </row>
    <row r="16" spans="4:6" ht="24.95" customHeight="1" x14ac:dyDescent="0.25">
      <c r="E16" s="97" t="s">
        <v>70</v>
      </c>
    </row>
    <row r="17" spans="1:6" ht="24.95" customHeight="1" x14ac:dyDescent="0.25"/>
    <row r="18" spans="1:6" ht="24.95" customHeight="1" x14ac:dyDescent="0.25"/>
    <row r="19" spans="1:6" ht="24.95" customHeight="1" x14ac:dyDescent="0.25"/>
    <row r="20" spans="1:6" ht="24.95" customHeight="1" x14ac:dyDescent="0.25"/>
    <row r="21" spans="1:6" ht="15" customHeight="1" x14ac:dyDescent="0.25">
      <c r="D21" s="98"/>
      <c r="E21" s="51"/>
      <c r="F21" s="51"/>
    </row>
    <row r="22" spans="1:6" ht="15" customHeight="1" x14ac:dyDescent="0.25">
      <c r="A22" s="99"/>
      <c r="B22" s="99"/>
      <c r="C22" s="99"/>
      <c r="D22" s="51"/>
      <c r="E22" s="51"/>
      <c r="F22" s="51"/>
    </row>
    <row r="23" spans="1:6" ht="15" customHeight="1" x14ac:dyDescent="0.3">
      <c r="A23" s="100"/>
      <c r="B23" s="100"/>
      <c r="C23" s="100"/>
      <c r="D23" s="101"/>
      <c r="E23" s="51"/>
      <c r="F23" s="51"/>
    </row>
    <row r="24" spans="1:6" ht="15" customHeight="1" x14ac:dyDescent="0.3">
      <c r="A24" s="100"/>
      <c r="B24" s="100"/>
      <c r="C24" s="100"/>
      <c r="D24" s="101"/>
      <c r="E24" s="51"/>
      <c r="F24" s="51"/>
    </row>
    <row r="25" spans="1:6" ht="15" customHeight="1" x14ac:dyDescent="0.3">
      <c r="A25" s="100"/>
      <c r="B25" s="100"/>
      <c r="C25" s="100"/>
      <c r="D25" s="51"/>
      <c r="E25" s="102"/>
      <c r="F25" s="51"/>
    </row>
    <row r="26" spans="1:6" ht="15" customHeight="1" x14ac:dyDescent="0.3">
      <c r="A26" s="100"/>
      <c r="B26" s="100"/>
      <c r="C26" s="100"/>
      <c r="D26" s="51"/>
      <c r="E26" s="102"/>
      <c r="F26" s="51"/>
    </row>
    <row r="27" spans="1:6" ht="15" customHeight="1" x14ac:dyDescent="0.3">
      <c r="A27" s="103"/>
      <c r="B27" s="103"/>
      <c r="C27" s="103"/>
      <c r="D27" s="51"/>
      <c r="E27" s="102"/>
      <c r="F27" s="51"/>
    </row>
    <row r="28" spans="1:6" ht="15" customHeight="1" x14ac:dyDescent="0.3">
      <c r="A28" s="103"/>
      <c r="B28" s="103"/>
      <c r="C28" s="103"/>
      <c r="D28" s="51"/>
      <c r="E28" s="102"/>
      <c r="F28" s="51"/>
    </row>
    <row r="29" spans="1:6" ht="15" customHeight="1" x14ac:dyDescent="0.3">
      <c r="A29" s="100"/>
      <c r="B29" s="100"/>
      <c r="C29" s="100"/>
      <c r="D29" s="51"/>
      <c r="E29" s="102"/>
      <c r="F29" s="51"/>
    </row>
    <row r="30" spans="1:6" ht="15" customHeight="1" x14ac:dyDescent="0.3">
      <c r="A30" s="100"/>
      <c r="B30" s="100"/>
      <c r="C30" s="100"/>
      <c r="D30" s="51"/>
      <c r="E30" s="102"/>
      <c r="F30" s="51"/>
    </row>
    <row r="31" spans="1:6" ht="15" customHeight="1" x14ac:dyDescent="0.3">
      <c r="A31" s="100"/>
      <c r="B31" s="100"/>
      <c r="C31" s="100"/>
      <c r="D31" s="51"/>
      <c r="E31" s="102"/>
      <c r="F31" s="51"/>
    </row>
    <row r="32" spans="1:6" ht="15" customHeight="1" x14ac:dyDescent="0.3">
      <c r="A32" s="100"/>
      <c r="B32" s="100"/>
      <c r="C32" s="100"/>
      <c r="D32" s="51"/>
      <c r="E32" s="102"/>
      <c r="F32" s="51"/>
    </row>
    <row r="33" spans="1:6" ht="15" customHeight="1" x14ac:dyDescent="0.3">
      <c r="A33" s="104"/>
      <c r="B33" s="104"/>
      <c r="C33" s="104"/>
      <c r="D33" s="51"/>
      <c r="E33" s="102"/>
      <c r="F33" s="51"/>
    </row>
    <row r="34" spans="1:6" ht="15" customHeight="1" x14ac:dyDescent="0.3">
      <c r="A34" s="104"/>
      <c r="B34" s="104"/>
      <c r="C34" s="104"/>
      <c r="D34" s="101"/>
      <c r="E34" s="102"/>
      <c r="F34" s="51"/>
    </row>
    <row r="35" spans="1:6" ht="15" customHeight="1" x14ac:dyDescent="0.25">
      <c r="A35" s="92">
        <v>2025</v>
      </c>
      <c r="D35" s="101"/>
      <c r="E35" s="102"/>
      <c r="F35" s="51"/>
    </row>
    <row r="36" spans="1:6" ht="15" customHeight="1" x14ac:dyDescent="0.25">
      <c r="A36" s="92">
        <v>2026</v>
      </c>
      <c r="D36" s="101"/>
      <c r="E36" s="102"/>
      <c r="F36" s="51"/>
    </row>
    <row r="37" spans="1:6" ht="15" customHeight="1" x14ac:dyDescent="0.25">
      <c r="A37" s="92">
        <v>2027</v>
      </c>
      <c r="D37" s="51"/>
      <c r="E37" s="51"/>
      <c r="F37" s="51"/>
    </row>
    <row r="38" spans="1:6" ht="15" customHeight="1" x14ac:dyDescent="0.25">
      <c r="A38" s="92">
        <v>2028</v>
      </c>
      <c r="D38" s="105"/>
      <c r="E38" s="51"/>
      <c r="F38" s="51"/>
    </row>
    <row r="39" spans="1:6" x14ac:dyDescent="0.25">
      <c r="A39" s="92">
        <v>2029</v>
      </c>
    </row>
    <row r="40" spans="1:6" x14ac:dyDescent="0.25">
      <c r="A40" s="92">
        <v>2030</v>
      </c>
    </row>
    <row r="50" spans="1:3" x14ac:dyDescent="0.25">
      <c r="A50" s="106">
        <v>0.12</v>
      </c>
      <c r="B50" s="106"/>
      <c r="C50" s="106"/>
    </row>
    <row r="51" spans="1:3" x14ac:dyDescent="0.25">
      <c r="A51" s="106">
        <v>0.13</v>
      </c>
      <c r="B51" s="106"/>
      <c r="C51" s="106"/>
    </row>
    <row r="52" spans="1:3" x14ac:dyDescent="0.25">
      <c r="A52" s="106">
        <v>0.14000000000000001</v>
      </c>
      <c r="B52" s="106"/>
      <c r="C52" s="106"/>
    </row>
    <row r="53" spans="1:3" x14ac:dyDescent="0.25">
      <c r="A53" s="106">
        <v>0.15</v>
      </c>
      <c r="B53" s="106"/>
      <c r="C53" s="106"/>
    </row>
    <row r="60" spans="1:3" x14ac:dyDescent="0.25">
      <c r="A60" s="92">
        <v>1</v>
      </c>
    </row>
    <row r="61" spans="1:3" x14ac:dyDescent="0.25">
      <c r="A61" s="92">
        <v>2</v>
      </c>
    </row>
    <row r="62" spans="1:3" x14ac:dyDescent="0.25">
      <c r="A62" s="92">
        <v>3</v>
      </c>
    </row>
    <row r="63" spans="1:3" x14ac:dyDescent="0.25">
      <c r="A63" s="92">
        <v>4</v>
      </c>
    </row>
    <row r="64" spans="1:3" x14ac:dyDescent="0.25">
      <c r="A64" s="92">
        <v>5</v>
      </c>
    </row>
    <row r="65" spans="1:1" x14ac:dyDescent="0.25">
      <c r="A65" s="92">
        <v>6</v>
      </c>
    </row>
    <row r="66" spans="1:1" x14ac:dyDescent="0.25">
      <c r="A66" s="92">
        <v>7</v>
      </c>
    </row>
    <row r="67" spans="1:1" x14ac:dyDescent="0.25">
      <c r="A67" s="92">
        <v>8</v>
      </c>
    </row>
    <row r="68" spans="1:1" x14ac:dyDescent="0.25">
      <c r="A68" s="92">
        <v>9</v>
      </c>
    </row>
    <row r="69" spans="1:1" x14ac:dyDescent="0.25">
      <c r="A69" s="92">
        <v>10</v>
      </c>
    </row>
    <row r="70" spans="1:1" x14ac:dyDescent="0.25">
      <c r="A70" s="92">
        <v>11</v>
      </c>
    </row>
    <row r="71" spans="1:1" x14ac:dyDescent="0.25">
      <c r="A71" s="92">
        <v>12</v>
      </c>
    </row>
  </sheetData>
  <sheetProtection sheet="1" objects="1" scenarios="1" selectLockedCells="1"/>
  <dataValidations count="3">
    <dataValidation type="list" allowBlank="1" showInputMessage="1" showErrorMessage="1" sqref="F5">
      <formula1>$A$50:$A$53</formula1>
    </dataValidation>
    <dataValidation type="list" allowBlank="1" showInputMessage="1" showErrorMessage="1" sqref="D5">
      <formula1>$A$60:$A$71</formula1>
    </dataValidation>
    <dataValidation type="list" allowBlank="1" showInputMessage="1" showErrorMessage="1" sqref="E5">
      <formula1>$A$35:$A$40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>
      <selection activeCell="H5" sqref="H5"/>
    </sheetView>
  </sheetViews>
  <sheetFormatPr baseColWidth="10" defaultRowHeight="15" x14ac:dyDescent="0.25"/>
  <cols>
    <col min="1" max="1" width="11" bestFit="1" customWidth="1"/>
    <col min="2" max="2" width="15.7109375" customWidth="1"/>
    <col min="3" max="3" width="21.28515625" customWidth="1"/>
    <col min="4" max="4" width="10.7109375" bestFit="1" customWidth="1"/>
    <col min="5" max="5" width="20.7109375" bestFit="1" customWidth="1"/>
    <col min="6" max="11" width="15.7109375" customWidth="1"/>
    <col min="12" max="12" width="35.7109375" customWidth="1"/>
  </cols>
  <sheetData>
    <row r="1" spans="1:12" s="1" customFormat="1" ht="39" customHeight="1" thickBot="1" x14ac:dyDescent="0.3">
      <c r="A1" s="141" t="s">
        <v>22</v>
      </c>
      <c r="B1" s="142"/>
      <c r="C1" s="142"/>
      <c r="D1" s="142"/>
      <c r="E1" s="143"/>
      <c r="F1" s="144" t="s">
        <v>4</v>
      </c>
      <c r="G1" s="145"/>
      <c r="H1" s="145"/>
      <c r="I1" s="145"/>
      <c r="J1" s="145"/>
      <c r="K1" s="145"/>
      <c r="L1" s="146"/>
    </row>
    <row r="2" spans="1:12" ht="94.5" thickBot="1" x14ac:dyDescent="0.3">
      <c r="A2" s="2" t="s">
        <v>19</v>
      </c>
      <c r="B2" s="2" t="s">
        <v>0</v>
      </c>
      <c r="C2" s="3" t="s">
        <v>35</v>
      </c>
      <c r="D2" s="3" t="s">
        <v>5</v>
      </c>
      <c r="E2" s="3" t="s">
        <v>10</v>
      </c>
      <c r="F2" s="2" t="s">
        <v>1</v>
      </c>
      <c r="G2" s="2" t="s">
        <v>2</v>
      </c>
      <c r="H2" s="3" t="s">
        <v>21</v>
      </c>
      <c r="I2" s="3" t="s">
        <v>20</v>
      </c>
      <c r="J2" s="4" t="s">
        <v>8</v>
      </c>
      <c r="K2" s="4" t="s">
        <v>9</v>
      </c>
      <c r="L2" s="5" t="s">
        <v>3</v>
      </c>
    </row>
    <row r="3" spans="1:12" ht="18.75" customHeight="1" x14ac:dyDescent="0.3">
      <c r="A3" s="6">
        <v>2021</v>
      </c>
      <c r="B3" s="7">
        <v>4070.1</v>
      </c>
      <c r="C3" s="8"/>
      <c r="D3" s="9"/>
      <c r="E3" s="7">
        <v>4070.1</v>
      </c>
      <c r="F3" s="7"/>
      <c r="G3" s="7"/>
      <c r="H3" s="7"/>
      <c r="I3" s="7"/>
      <c r="J3" s="10"/>
      <c r="K3" s="10"/>
      <c r="L3" s="11"/>
    </row>
    <row r="4" spans="1:12" ht="18.75" customHeight="1" x14ac:dyDescent="0.3">
      <c r="A4" s="12">
        <v>2022</v>
      </c>
      <c r="B4" s="13"/>
      <c r="C4" s="14"/>
      <c r="D4" s="14">
        <v>1.7000000000000001E-2</v>
      </c>
      <c r="E4" s="13">
        <v>4139.3999999999996</v>
      </c>
      <c r="F4" s="13"/>
      <c r="G4" s="13"/>
      <c r="H4" s="13"/>
      <c r="I4" s="13"/>
      <c r="J4" s="15"/>
      <c r="K4" s="15"/>
      <c r="L4" s="16"/>
    </row>
    <row r="5" spans="1:12" ht="18.75" customHeight="1" x14ac:dyDescent="0.3">
      <c r="A5" s="12">
        <v>2023</v>
      </c>
      <c r="B5" s="13"/>
      <c r="C5" s="14"/>
      <c r="D5" s="14">
        <v>0.03</v>
      </c>
      <c r="E5" s="13">
        <v>4263.58</v>
      </c>
      <c r="F5" s="13"/>
      <c r="G5" s="13"/>
      <c r="H5" s="13"/>
      <c r="I5" s="13"/>
      <c r="J5" s="15"/>
      <c r="K5" s="15"/>
      <c r="L5" s="16"/>
    </row>
    <row r="6" spans="1:12" ht="18.75" customHeight="1" x14ac:dyDescent="0.3">
      <c r="A6" s="12" t="s">
        <v>23</v>
      </c>
      <c r="B6" s="13">
        <f>IF(E15=2025,"",B3+B3*(C6+0.012))</f>
        <v>4318.3760999999995</v>
      </c>
      <c r="C6" s="17">
        <f>+'DATOS ENTRADA'!F9</f>
        <v>4.9000000000000002E-2</v>
      </c>
      <c r="D6" s="14">
        <v>0.03</v>
      </c>
      <c r="E6" s="13">
        <f>E5*1.03</f>
        <v>4391.4874</v>
      </c>
      <c r="F6" s="18">
        <f>IF(E15=2025,0,B6-E3)</f>
        <v>248.27609999999959</v>
      </c>
      <c r="G6" s="13">
        <f>F6*(28.3%*94%+0.7%)</f>
        <v>67.784340821999891</v>
      </c>
      <c r="H6" s="19">
        <f>MIN(F6,IF(E15=2025,0,E6-E3))</f>
        <v>248.27609999999959</v>
      </c>
      <c r="I6" s="13">
        <f>H6*(28.3%*94%)+H6*0.7%</f>
        <v>67.784340821999905</v>
      </c>
      <c r="J6" s="15">
        <f>IF(G6&lt;I6,0,G6-I6)</f>
        <v>-1.4210854715202004E-14</v>
      </c>
      <c r="K6" s="15">
        <f>J6*12</f>
        <v>-1.7053025658242404E-13</v>
      </c>
      <c r="L6" s="16" t="s">
        <v>6</v>
      </c>
    </row>
    <row r="7" spans="1:12" ht="18.75" customHeight="1" x14ac:dyDescent="0.3">
      <c r="A7" s="20" t="s">
        <v>24</v>
      </c>
      <c r="B7" s="13">
        <f>IF(E15=2025,B3+B3*(C7+0.012),B6+B6*(C7+0.012))</f>
        <v>4521.3397766999997</v>
      </c>
      <c r="C7" s="17">
        <f>+'DATOS ENTRADA'!F10</f>
        <v>3.5000000000000003E-2</v>
      </c>
      <c r="D7" s="14">
        <v>0.03</v>
      </c>
      <c r="E7" s="13">
        <f>E6*1.03</f>
        <v>4523.2320220000001</v>
      </c>
      <c r="F7" s="18">
        <f>B7-E$3</f>
        <v>451.23977669999977</v>
      </c>
      <c r="G7" s="13">
        <f>F7*(28.3%*94%+0.8%)</f>
        <v>123.64872361133395</v>
      </c>
      <c r="H7" s="19">
        <f>MIN(F7,(E7-E$3))</f>
        <v>451.23977669999977</v>
      </c>
      <c r="I7" s="13">
        <f t="shared" ref="I7" si="0">H7*(28.3%*94%)+H7*0.8%</f>
        <v>123.64872361133395</v>
      </c>
      <c r="J7" s="15">
        <f t="shared" ref="J7:J12" si="1">IF(G7&lt;I7,0,G7-I7)</f>
        <v>0</v>
      </c>
      <c r="K7" s="15">
        <f>J7*12</f>
        <v>0</v>
      </c>
      <c r="L7" s="16" t="s">
        <v>7</v>
      </c>
    </row>
    <row r="8" spans="1:12" ht="18.75" customHeight="1" x14ac:dyDescent="0.3">
      <c r="A8" s="20" t="s">
        <v>11</v>
      </c>
      <c r="B8" s="13">
        <f t="shared" ref="B8:B12" si="2">B7+B7*(C8+0.012)</f>
        <v>4711.2360473213994</v>
      </c>
      <c r="C8" s="17">
        <f>+'DATOS ENTRADA'!F11</f>
        <v>0.03</v>
      </c>
      <c r="D8" s="14">
        <v>0.03</v>
      </c>
      <c r="E8" s="13">
        <f t="shared" ref="E8:E12" si="3">E7*1.03</f>
        <v>4658.9289826600007</v>
      </c>
      <c r="F8" s="18">
        <f t="shared" ref="F8:F12" si="4">B8-E$3</f>
        <v>641.13604732139947</v>
      </c>
      <c r="G8" s="13">
        <f>F8*(28.3%*94%+0.9%)</f>
        <v>176.3252357343313</v>
      </c>
      <c r="H8" s="19">
        <f t="shared" ref="H8:H12" si="5">MIN(F8,(E8-E$3))</f>
        <v>588.82898266000075</v>
      </c>
      <c r="I8" s="13">
        <f>H8*(28.3%*94%)+H8*0.9%</f>
        <v>161.93974681115344</v>
      </c>
      <c r="J8" s="15">
        <f t="shared" si="1"/>
        <v>14.38548892317786</v>
      </c>
      <c r="K8" s="15">
        <f t="shared" ref="K8:K12" si="6">J8*12</f>
        <v>172.62586707813432</v>
      </c>
      <c r="L8" s="16" t="s">
        <v>25</v>
      </c>
    </row>
    <row r="9" spans="1:12" ht="18.75" customHeight="1" x14ac:dyDescent="0.3">
      <c r="A9" s="12" t="s">
        <v>12</v>
      </c>
      <c r="B9" s="13">
        <f t="shared" si="2"/>
        <v>4909.1079613088978</v>
      </c>
      <c r="C9" s="17">
        <f>+'DATOS ENTRADA'!F12</f>
        <v>0.03</v>
      </c>
      <c r="D9" s="14">
        <v>0.03</v>
      </c>
      <c r="E9" s="13">
        <f t="shared" si="3"/>
        <v>4798.6968521398012</v>
      </c>
      <c r="F9" s="18">
        <f t="shared" si="4"/>
        <v>839.00796130889785</v>
      </c>
      <c r="G9" s="13">
        <f>F9*(28.3%*94%+1%)</f>
        <v>231.58297748048201</v>
      </c>
      <c r="H9" s="19">
        <f t="shared" si="5"/>
        <v>728.59685213980129</v>
      </c>
      <c r="I9" s="13">
        <f>H9*(28.3%*94%)+H9*1%</f>
        <v>201.10730312762797</v>
      </c>
      <c r="J9" s="15">
        <f t="shared" si="1"/>
        <v>30.475674352854043</v>
      </c>
      <c r="K9" s="15">
        <f t="shared" si="6"/>
        <v>365.70809223424851</v>
      </c>
      <c r="L9" s="16" t="s">
        <v>30</v>
      </c>
    </row>
    <row r="10" spans="1:12" ht="18.75" customHeight="1" x14ac:dyDescent="0.3">
      <c r="A10" s="12" t="s">
        <v>13</v>
      </c>
      <c r="B10" s="13">
        <f t="shared" si="2"/>
        <v>5115.2904956838711</v>
      </c>
      <c r="C10" s="17">
        <f>+'DATOS ENTRADA'!F13</f>
        <v>0.03</v>
      </c>
      <c r="D10" s="14">
        <v>0.03</v>
      </c>
      <c r="E10" s="13">
        <f t="shared" si="3"/>
        <v>4942.6577577039952</v>
      </c>
      <c r="F10" s="18">
        <f t="shared" si="4"/>
        <v>1045.1904956838712</v>
      </c>
      <c r="G10" s="13">
        <f>F10*(28.3%*94%+1.1%)</f>
        <v>289.53867111434602</v>
      </c>
      <c r="H10" s="19">
        <f t="shared" si="5"/>
        <v>872.55775770399532</v>
      </c>
      <c r="I10" s="13">
        <f>H10*(28.3%*94%)+H10*1.1%</f>
        <v>241.71595003916082</v>
      </c>
      <c r="J10" s="15">
        <f t="shared" si="1"/>
        <v>47.8227210751852</v>
      </c>
      <c r="K10" s="15">
        <f t="shared" si="6"/>
        <v>573.8726529022224</v>
      </c>
      <c r="L10" s="16" t="s">
        <v>26</v>
      </c>
    </row>
    <row r="11" spans="1:12" ht="18.75" customHeight="1" x14ac:dyDescent="0.3">
      <c r="A11" s="12" t="s">
        <v>14</v>
      </c>
      <c r="B11" s="13">
        <f t="shared" si="2"/>
        <v>5330.1326965025937</v>
      </c>
      <c r="C11" s="17">
        <f>+'DATOS ENTRADA'!F14</f>
        <v>0.03</v>
      </c>
      <c r="D11" s="14">
        <v>0.03</v>
      </c>
      <c r="E11" s="13">
        <f t="shared" si="3"/>
        <v>5090.9374904351153</v>
      </c>
      <c r="F11" s="18">
        <f t="shared" si="4"/>
        <v>1260.0326965025938</v>
      </c>
      <c r="G11" s="13">
        <f>F11*(28.3%*94%+1.2%)</f>
        <v>350.31429028165121</v>
      </c>
      <c r="H11" s="19">
        <f t="shared" si="5"/>
        <v>1020.8374904351153</v>
      </c>
      <c r="I11" s="13">
        <f>H11*(28.3%*94%)+H11*1.2%</f>
        <v>283.81323909077076</v>
      </c>
      <c r="J11" s="15">
        <f t="shared" si="1"/>
        <v>66.501051190880446</v>
      </c>
      <c r="K11" s="15">
        <f t="shared" si="6"/>
        <v>798.01261429056535</v>
      </c>
      <c r="L11" s="16" t="s">
        <v>27</v>
      </c>
    </row>
    <row r="12" spans="1:12" ht="18.75" customHeight="1" thickBot="1" x14ac:dyDescent="0.35">
      <c r="A12" s="21" t="s">
        <v>15</v>
      </c>
      <c r="B12" s="22">
        <f t="shared" si="2"/>
        <v>5553.9982697557025</v>
      </c>
      <c r="C12" s="23">
        <f>+'DATOS ENTRADA'!F15</f>
        <v>0.03</v>
      </c>
      <c r="D12" s="24">
        <v>0.03</v>
      </c>
      <c r="E12" s="22">
        <f t="shared" si="3"/>
        <v>5243.6656151481684</v>
      </c>
      <c r="F12" s="25">
        <f t="shared" si="4"/>
        <v>1483.8982697557026</v>
      </c>
      <c r="G12" s="22">
        <f>F12*(28.3%*94%+1.2%)</f>
        <v>412.55339695748052</v>
      </c>
      <c r="H12" s="26">
        <f t="shared" si="5"/>
        <v>1173.5656151481685</v>
      </c>
      <c r="I12" s="22">
        <f>H12*(28.3%*94%)+H12*1.2%</f>
        <v>326.27471232349382</v>
      </c>
      <c r="J12" s="27">
        <f t="shared" si="1"/>
        <v>86.2786846339867</v>
      </c>
      <c r="K12" s="27">
        <f t="shared" si="6"/>
        <v>1035.3442156078404</v>
      </c>
      <c r="L12" s="28" t="s">
        <v>28</v>
      </c>
    </row>
    <row r="13" spans="1:12" ht="24.95" customHeight="1" thickBot="1" x14ac:dyDescent="0.35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 thickBot="1" x14ac:dyDescent="0.35">
      <c r="A14" s="29"/>
      <c r="B14" s="29"/>
      <c r="C14" s="29"/>
      <c r="D14" s="29"/>
      <c r="E14" s="29"/>
      <c r="F14" s="29"/>
      <c r="J14" s="45" t="s">
        <v>47</v>
      </c>
      <c r="K14" s="46"/>
      <c r="L14" s="46"/>
    </row>
    <row r="15" spans="1:12" ht="24.95" customHeight="1" thickBot="1" x14ac:dyDescent="0.35">
      <c r="A15" s="29"/>
      <c r="B15" s="29"/>
      <c r="C15" s="49" t="s">
        <v>49</v>
      </c>
      <c r="D15" s="50"/>
      <c r="E15" s="44">
        <v>2024</v>
      </c>
      <c r="F15" s="29"/>
      <c r="J15" s="47" t="s">
        <v>48</v>
      </c>
      <c r="K15" s="47" t="s">
        <v>19</v>
      </c>
      <c r="L15" s="47" t="s">
        <v>50</v>
      </c>
    </row>
    <row r="16" spans="1:12" ht="24.95" customHeight="1" thickBot="1" x14ac:dyDescent="0.35">
      <c r="A16" s="29"/>
      <c r="B16" s="29"/>
      <c r="C16" s="49" t="s">
        <v>59</v>
      </c>
      <c r="D16" s="29"/>
      <c r="E16" s="44" t="s">
        <v>44</v>
      </c>
      <c r="F16" s="29"/>
      <c r="J16" s="43">
        <f>'DATOS ENTRADA'!$D$5</f>
        <v>4</v>
      </c>
      <c r="K16" s="43">
        <f>'DATOS ENTRADA'!$E$5</f>
        <v>2029</v>
      </c>
      <c r="L16" s="48">
        <f>'DATOS ENTRADA'!$F$5</f>
        <v>0.14000000000000001</v>
      </c>
    </row>
    <row r="17" spans="1:11" ht="24.95" customHeight="1" x14ac:dyDescent="0.3">
      <c r="A17" s="29"/>
      <c r="B17" s="29"/>
      <c r="C17" s="29"/>
      <c r="D17" s="29"/>
      <c r="E17" s="29"/>
      <c r="F17" s="29"/>
    </row>
    <row r="18" spans="1:11" ht="24.95" customHeight="1" thickBot="1" x14ac:dyDescent="0.35">
      <c r="C18" s="31" t="s">
        <v>17</v>
      </c>
      <c r="D18" s="32"/>
      <c r="E18" s="32"/>
    </row>
    <row r="19" spans="1:11" ht="24.95" customHeight="1" thickTop="1" thickBot="1" x14ac:dyDescent="0.45">
      <c r="A19" s="33">
        <v>2025</v>
      </c>
      <c r="C19" s="34" t="s">
        <v>18</v>
      </c>
      <c r="D19" s="32"/>
      <c r="E19" s="35">
        <f>IF(K$16=2025,+K$6+K$7*(($J$16-1)/12),IF(K$16=2026,+K$6+K$7+K$8*(($J$16-1)/12),IF(K$16=2027,+K$6+K$7+K$8+K$9*(($J$16-1)/12),IF(K$16=2028,+K$6+K$7+K$8+K$9+K$10*(($J$16-1)/12),IF(K$16=2029,+K$6+K$7+K$8+K$9+K$10+K$11*(($J$16-1)/12),IF(K$16=2030,+K$6+K$7+K$8+K$9+K$10+K$11+K$12*(($J$16-1)/12),"ELIGE AÑO"))))))</f>
        <v>1311.7097657872464</v>
      </c>
    </row>
    <row r="20" spans="1:11" ht="24.95" customHeight="1" thickTop="1" x14ac:dyDescent="0.3">
      <c r="A20" s="33">
        <v>2026</v>
      </c>
      <c r="C20" s="36" t="s">
        <v>16</v>
      </c>
      <c r="D20" s="32"/>
      <c r="E20" s="32"/>
    </row>
    <row r="21" spans="1:11" ht="24.95" customHeight="1" x14ac:dyDescent="0.4">
      <c r="A21" s="33">
        <v>2027</v>
      </c>
      <c r="C21" s="32"/>
      <c r="D21" s="32"/>
      <c r="E21" s="32"/>
      <c r="K21" s="37"/>
    </row>
    <row r="22" spans="1:11" ht="24.95" customHeight="1" thickBot="1" x14ac:dyDescent="0.3">
      <c r="A22" s="33">
        <v>2028</v>
      </c>
      <c r="C22" s="147" t="s">
        <v>31</v>
      </c>
      <c r="D22" s="32"/>
      <c r="E22" s="32"/>
    </row>
    <row r="23" spans="1:11" ht="24.95" customHeight="1" thickTop="1" thickBot="1" x14ac:dyDescent="0.45">
      <c r="A23" s="33">
        <v>2029</v>
      </c>
      <c r="C23" s="148"/>
      <c r="D23" s="32"/>
      <c r="E23" s="35">
        <f>(IF(K$16=2025,+F$6*12+F$7*($J$16-1),IF(K$16=2026,+F$6*12+F$7*12+F$8*($J$16-1),IF(K$16=2027,+F$6*12+F$7*12+F$8*12+F$9*($J$16-1),IF(K$16=2028,+F$6*12+F$7*12+F$8*12+F$9*12+F$10*($J$16-1),IF(K$16=2029,+F$6*12+F$7*12+F$8*12+F$9*12+F$10*12+F$11*($J$16-1),IF(K$16=2030,+F$6*12+F$7*12+F$8*12+F$9*12+F$10*12+F$11*12+F$12*($J$16-1),"ELIGE AÑO"))))))/350*(1-L16))</f>
        <v>104.375257968694</v>
      </c>
    </row>
    <row r="24" spans="1:11" ht="24.95" customHeight="1" thickTop="1" x14ac:dyDescent="0.25">
      <c r="A24" s="33">
        <v>2030</v>
      </c>
      <c r="C24" s="149"/>
      <c r="D24" s="32"/>
      <c r="E24" s="32"/>
    </row>
    <row r="25" spans="1:11" ht="24.95" customHeight="1" x14ac:dyDescent="0.25">
      <c r="A25" s="38"/>
      <c r="C25" s="39" t="s">
        <v>29</v>
      </c>
      <c r="D25" s="32"/>
      <c r="E25" s="32"/>
    </row>
    <row r="26" spans="1:11" ht="24.95" customHeight="1" x14ac:dyDescent="0.25">
      <c r="C26" s="32"/>
      <c r="D26" s="32"/>
      <c r="E26" s="32"/>
    </row>
    <row r="27" spans="1:11" ht="24.95" customHeight="1" thickBot="1" x14ac:dyDescent="0.3">
      <c r="C27" s="147" t="s">
        <v>32</v>
      </c>
      <c r="D27" s="32"/>
      <c r="E27" s="32"/>
    </row>
    <row r="28" spans="1:11" ht="24.95" customHeight="1" thickTop="1" thickBot="1" x14ac:dyDescent="0.45">
      <c r="C28" s="148"/>
      <c r="D28" s="32"/>
      <c r="E28" s="40">
        <f>E19/(E23*14)</f>
        <v>0.89766058089352163</v>
      </c>
    </row>
    <row r="29" spans="1:11" ht="24.95" customHeight="1" thickTop="1" x14ac:dyDescent="0.25">
      <c r="C29" s="149"/>
      <c r="D29" s="32"/>
      <c r="E29" s="32"/>
    </row>
    <row r="30" spans="1:11" ht="24.95" customHeight="1" x14ac:dyDescent="0.25">
      <c r="C30" s="41" t="s">
        <v>33</v>
      </c>
    </row>
    <row r="31" spans="1:11" ht="24.95" customHeight="1" x14ac:dyDescent="0.25"/>
    <row r="34" spans="1:1" x14ac:dyDescent="0.25">
      <c r="A34" s="42">
        <v>0.12</v>
      </c>
    </row>
    <row r="35" spans="1:1" x14ac:dyDescent="0.25">
      <c r="A35" s="42">
        <v>0.13</v>
      </c>
    </row>
    <row r="36" spans="1:1" x14ac:dyDescent="0.25">
      <c r="A36" s="42">
        <v>0.14000000000000001</v>
      </c>
    </row>
    <row r="37" spans="1:1" x14ac:dyDescent="0.25">
      <c r="A37" s="42">
        <v>0.15</v>
      </c>
    </row>
    <row r="44" spans="1:1" x14ac:dyDescent="0.25">
      <c r="A44" s="33">
        <v>1</v>
      </c>
    </row>
    <row r="45" spans="1:1" x14ac:dyDescent="0.25">
      <c r="A45" s="33">
        <v>2</v>
      </c>
    </row>
    <row r="46" spans="1:1" x14ac:dyDescent="0.25">
      <c r="A46" s="33">
        <v>3</v>
      </c>
    </row>
    <row r="47" spans="1:1" x14ac:dyDescent="0.25">
      <c r="A47" s="33">
        <v>4</v>
      </c>
    </row>
    <row r="48" spans="1:1" x14ac:dyDescent="0.25">
      <c r="A48" s="33">
        <v>5</v>
      </c>
    </row>
    <row r="49" spans="1:1" x14ac:dyDescent="0.25">
      <c r="A49" s="33">
        <v>6</v>
      </c>
    </row>
    <row r="50" spans="1:1" x14ac:dyDescent="0.25">
      <c r="A50" s="33">
        <v>7</v>
      </c>
    </row>
    <row r="51" spans="1:1" x14ac:dyDescent="0.25">
      <c r="A51" s="33">
        <v>8</v>
      </c>
    </row>
    <row r="52" spans="1:1" x14ac:dyDescent="0.25">
      <c r="A52" s="33">
        <v>9</v>
      </c>
    </row>
    <row r="53" spans="1:1" x14ac:dyDescent="0.25">
      <c r="A53" s="33">
        <v>10</v>
      </c>
    </row>
    <row r="54" spans="1:1" x14ac:dyDescent="0.25">
      <c r="A54" s="33">
        <v>11</v>
      </c>
    </row>
    <row r="55" spans="1:1" x14ac:dyDescent="0.25">
      <c r="A55" s="33">
        <v>12</v>
      </c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>
        <v>2024</v>
      </c>
    </row>
    <row r="64" spans="1:1" x14ac:dyDescent="0.25">
      <c r="A64" s="33">
        <v>2025</v>
      </c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</sheetData>
  <sheetProtection sheet="1" objects="1" scenarios="1"/>
  <mergeCells count="4">
    <mergeCell ref="A1:E1"/>
    <mergeCell ref="F1:L1"/>
    <mergeCell ref="C22:C24"/>
    <mergeCell ref="C27:C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G6" sqref="G6"/>
    </sheetView>
  </sheetViews>
  <sheetFormatPr baseColWidth="10" defaultRowHeight="15" x14ac:dyDescent="0.25"/>
  <cols>
    <col min="1" max="1" width="11" bestFit="1" customWidth="1"/>
    <col min="2" max="2" width="15.7109375" customWidth="1"/>
    <col min="3" max="3" width="21.28515625" customWidth="1"/>
    <col min="4" max="4" width="10.7109375" bestFit="1" customWidth="1"/>
    <col min="5" max="5" width="20.7109375" bestFit="1" customWidth="1"/>
    <col min="6" max="11" width="15.7109375" customWidth="1"/>
    <col min="12" max="12" width="35.7109375" customWidth="1"/>
  </cols>
  <sheetData>
    <row r="1" spans="1:12" s="1" customFormat="1" ht="39" customHeight="1" thickBot="1" x14ac:dyDescent="0.3">
      <c r="A1" s="141" t="s">
        <v>34</v>
      </c>
      <c r="B1" s="142"/>
      <c r="C1" s="142"/>
      <c r="D1" s="142"/>
      <c r="E1" s="143"/>
      <c r="F1" s="144" t="s">
        <v>4</v>
      </c>
      <c r="G1" s="145"/>
      <c r="H1" s="145"/>
      <c r="I1" s="145"/>
      <c r="J1" s="145"/>
      <c r="K1" s="145"/>
      <c r="L1" s="146"/>
    </row>
    <row r="2" spans="1:12" ht="94.5" thickBot="1" x14ac:dyDescent="0.3">
      <c r="A2" s="2" t="s">
        <v>19</v>
      </c>
      <c r="B2" s="2" t="s">
        <v>0</v>
      </c>
      <c r="C2" s="3" t="s">
        <v>35</v>
      </c>
      <c r="D2" s="3" t="s">
        <v>5</v>
      </c>
      <c r="E2" s="3" t="s">
        <v>10</v>
      </c>
      <c r="F2" s="2" t="s">
        <v>1</v>
      </c>
      <c r="G2" s="2" t="s">
        <v>2</v>
      </c>
      <c r="H2" s="3" t="s">
        <v>21</v>
      </c>
      <c r="I2" s="3" t="s">
        <v>20</v>
      </c>
      <c r="J2" s="4" t="s">
        <v>8</v>
      </c>
      <c r="K2" s="4" t="s">
        <v>9</v>
      </c>
      <c r="L2" s="5" t="s">
        <v>3</v>
      </c>
    </row>
    <row r="3" spans="1:12" ht="18.75" customHeight="1" x14ac:dyDescent="0.3">
      <c r="A3" s="6">
        <v>2021</v>
      </c>
      <c r="B3" s="7">
        <v>4070.1</v>
      </c>
      <c r="C3" s="8"/>
      <c r="D3" s="9"/>
      <c r="E3" s="7">
        <v>4070.1</v>
      </c>
      <c r="F3" s="7"/>
      <c r="G3" s="7"/>
      <c r="H3" s="7"/>
      <c r="I3" s="7"/>
      <c r="J3" s="10"/>
      <c r="K3" s="10"/>
      <c r="L3" s="11"/>
    </row>
    <row r="4" spans="1:12" ht="18.75" customHeight="1" x14ac:dyDescent="0.3">
      <c r="A4" s="12">
        <v>2022</v>
      </c>
      <c r="B4" s="13">
        <f>B3*(1+C4)</f>
        <v>4139.2916999999998</v>
      </c>
      <c r="C4" s="14">
        <v>1.7000000000000001E-2</v>
      </c>
      <c r="D4" s="14">
        <v>1.7000000000000001E-2</v>
      </c>
      <c r="E4" s="13">
        <v>4139.3999999999996</v>
      </c>
      <c r="F4" s="13"/>
      <c r="G4" s="13"/>
      <c r="H4" s="13"/>
      <c r="I4" s="13"/>
      <c r="J4" s="15"/>
      <c r="K4" s="15"/>
      <c r="L4" s="16"/>
    </row>
    <row r="5" spans="1:12" ht="18.75" customHeight="1" x14ac:dyDescent="0.3">
      <c r="A5" s="12">
        <v>2023</v>
      </c>
      <c r="B5" s="13">
        <f>B4*(1+C5)</f>
        <v>4495.2707861999997</v>
      </c>
      <c r="C5" s="14">
        <v>8.5999999999999993E-2</v>
      </c>
      <c r="D5" s="14">
        <v>0.03</v>
      </c>
      <c r="E5" s="13">
        <v>4263.58</v>
      </c>
      <c r="F5" s="13"/>
      <c r="G5" s="13"/>
      <c r="H5" s="13"/>
      <c r="I5" s="13"/>
      <c r="J5" s="15"/>
      <c r="K5" s="15"/>
      <c r="L5" s="16"/>
    </row>
    <row r="6" spans="1:12" ht="18.75" customHeight="1" x14ac:dyDescent="0.3">
      <c r="A6" s="12" t="s">
        <v>23</v>
      </c>
      <c r="B6" s="13">
        <f>B5+B5*(C6+0.012)</f>
        <v>4769.4823041581994</v>
      </c>
      <c r="C6" s="17">
        <f>+'DATOS ENTRADA'!F9</f>
        <v>4.9000000000000002E-2</v>
      </c>
      <c r="D6" s="14">
        <v>0.03</v>
      </c>
      <c r="E6" s="13">
        <f>E5*1.03</f>
        <v>4391.4874</v>
      </c>
      <c r="F6" s="18">
        <f>IF(E15=2025,0,B6-E3)</f>
        <v>699.38230415819953</v>
      </c>
      <c r="G6" s="13">
        <f>F6*(28.3%*94%+0.7%)</f>
        <v>190.94535668127168</v>
      </c>
      <c r="H6" s="19">
        <f>IF(E15=2025,0,E6-E3)</f>
        <v>321.38740000000007</v>
      </c>
      <c r="I6" s="13">
        <f>H6*(28.3%*94%)+H6*0.7%</f>
        <v>87.745187948000023</v>
      </c>
      <c r="J6" s="15">
        <f>IF(G6&lt;I6,0,G6-I6)</f>
        <v>103.20016873327165</v>
      </c>
      <c r="K6" s="15">
        <f>J6*12</f>
        <v>1238.4020247992598</v>
      </c>
      <c r="L6" s="16" t="s">
        <v>6</v>
      </c>
    </row>
    <row r="7" spans="1:12" ht="18.75" customHeight="1" x14ac:dyDescent="0.3">
      <c r="A7" s="20" t="s">
        <v>24</v>
      </c>
      <c r="B7" s="13">
        <f>B6+B6*(C7+0.012)</f>
        <v>4993.6479724536348</v>
      </c>
      <c r="C7" s="17">
        <f>+'DATOS ENTRADA'!F10</f>
        <v>3.5000000000000003E-2</v>
      </c>
      <c r="D7" s="14">
        <v>0.03</v>
      </c>
      <c r="E7" s="13">
        <f>E6*1.03</f>
        <v>4523.2320220000001</v>
      </c>
      <c r="F7" s="18">
        <f>B7-E$3</f>
        <v>923.54797245363488</v>
      </c>
      <c r="G7" s="13">
        <f>F7*(28.3%*94%+0.8%)</f>
        <v>253.07061541174508</v>
      </c>
      <c r="H7" s="19">
        <f>E7-E$3</f>
        <v>453.13202200000023</v>
      </c>
      <c r="I7" s="13">
        <f t="shared" ref="I7" si="0">H7*(28.3%*94%)+H7*0.8%</f>
        <v>124.16723666844008</v>
      </c>
      <c r="J7" s="15">
        <f t="shared" ref="J7:J12" si="1">IF(G7&lt;I7,0,G7-I7)</f>
        <v>128.90337874330498</v>
      </c>
      <c r="K7" s="15">
        <f>J7*12</f>
        <v>1546.8405449196598</v>
      </c>
      <c r="L7" s="16" t="s">
        <v>7</v>
      </c>
    </row>
    <row r="8" spans="1:12" ht="18.75" customHeight="1" x14ac:dyDescent="0.3">
      <c r="A8" s="20" t="s">
        <v>11</v>
      </c>
      <c r="B8" s="13">
        <f t="shared" ref="B8:B12" si="2">B7+B7*(C8+0.012)</f>
        <v>5203.3811872966871</v>
      </c>
      <c r="C8" s="17">
        <f>+'DATOS ENTRADA'!F11</f>
        <v>0.03</v>
      </c>
      <c r="D8" s="14">
        <v>0.03</v>
      </c>
      <c r="E8" s="13">
        <f t="shared" ref="E8:E12" si="3">E7*1.03</f>
        <v>4658.9289826600007</v>
      </c>
      <c r="F8" s="18">
        <f t="shared" ref="F8:F12" si="4">B8-E$3</f>
        <v>1133.2811872966872</v>
      </c>
      <c r="G8" s="13">
        <f>F8*(28.3%*94%+0.9%)</f>
        <v>311.67499213033494</v>
      </c>
      <c r="H8" s="19">
        <f t="shared" ref="H8:H12" si="5">E8-E$3</f>
        <v>588.82898266000075</v>
      </c>
      <c r="I8" s="13">
        <f>H8*(28.3%*94%)+H8*0.9%</f>
        <v>161.93974681115344</v>
      </c>
      <c r="J8" s="15">
        <f t="shared" si="1"/>
        <v>149.7352453191815</v>
      </c>
      <c r="K8" s="15">
        <f t="shared" ref="K8:K12" si="6">J8*12</f>
        <v>1796.822943830178</v>
      </c>
      <c r="L8" s="16" t="s">
        <v>25</v>
      </c>
    </row>
    <row r="9" spans="1:12" ht="18.75" customHeight="1" x14ac:dyDescent="0.3">
      <c r="A9" s="12" t="s">
        <v>12</v>
      </c>
      <c r="B9" s="13">
        <f t="shared" si="2"/>
        <v>5421.923197163148</v>
      </c>
      <c r="C9" s="17">
        <f>+'DATOS ENTRADA'!F12</f>
        <v>0.03</v>
      </c>
      <c r="D9" s="14">
        <v>0.03</v>
      </c>
      <c r="E9" s="13">
        <f t="shared" si="3"/>
        <v>4798.6968521398012</v>
      </c>
      <c r="F9" s="18">
        <f t="shared" si="4"/>
        <v>1351.8231971631481</v>
      </c>
      <c r="G9" s="13">
        <f>F9*(28.3%*94%+1%)</f>
        <v>373.13023888097217</v>
      </c>
      <c r="H9" s="19">
        <f t="shared" si="5"/>
        <v>728.59685213980129</v>
      </c>
      <c r="I9" s="13">
        <f>H9*(28.3%*94%)+H9*1%</f>
        <v>201.10730312762797</v>
      </c>
      <c r="J9" s="15">
        <f t="shared" si="1"/>
        <v>172.0229357533442</v>
      </c>
      <c r="K9" s="15">
        <f t="shared" si="6"/>
        <v>2064.2752290401304</v>
      </c>
      <c r="L9" s="16" t="s">
        <v>30</v>
      </c>
    </row>
    <row r="10" spans="1:12" ht="18.75" customHeight="1" x14ac:dyDescent="0.3">
      <c r="A10" s="12" t="s">
        <v>13</v>
      </c>
      <c r="B10" s="13">
        <f t="shared" si="2"/>
        <v>5649.6439714440003</v>
      </c>
      <c r="C10" s="17">
        <f>+'DATOS ENTRADA'!F13</f>
        <v>0.03</v>
      </c>
      <c r="D10" s="14">
        <v>0.03</v>
      </c>
      <c r="E10" s="13">
        <f t="shared" si="3"/>
        <v>4942.6577577039952</v>
      </c>
      <c r="F10" s="18">
        <f t="shared" si="4"/>
        <v>1579.5439714440004</v>
      </c>
      <c r="G10" s="13">
        <f>F10*(28.3%*94%+1.1%)</f>
        <v>437.56527096941704</v>
      </c>
      <c r="H10" s="19">
        <f t="shared" si="5"/>
        <v>872.55775770399532</v>
      </c>
      <c r="I10" s="13">
        <f>H10*(28.3%*94%)+H10*1.1%</f>
        <v>241.71595003916082</v>
      </c>
      <c r="J10" s="15">
        <f t="shared" si="1"/>
        <v>195.84932093025623</v>
      </c>
      <c r="K10" s="15">
        <f t="shared" si="6"/>
        <v>2350.1918511630747</v>
      </c>
      <c r="L10" s="16" t="s">
        <v>26</v>
      </c>
    </row>
    <row r="11" spans="1:12" ht="18.75" customHeight="1" x14ac:dyDescent="0.3">
      <c r="A11" s="12" t="s">
        <v>14</v>
      </c>
      <c r="B11" s="13">
        <f t="shared" si="2"/>
        <v>5886.9290182446484</v>
      </c>
      <c r="C11" s="17">
        <f>+'DATOS ENTRADA'!F14</f>
        <v>0.03</v>
      </c>
      <c r="D11" s="14">
        <v>0.03</v>
      </c>
      <c r="E11" s="13">
        <f t="shared" si="3"/>
        <v>5090.9374904351153</v>
      </c>
      <c r="F11" s="18">
        <f t="shared" si="4"/>
        <v>1816.8290182446485</v>
      </c>
      <c r="G11" s="13">
        <f>F11*(28.3%*94%+1.2%)</f>
        <v>505.11480365237725</v>
      </c>
      <c r="H11" s="19">
        <f t="shared" si="5"/>
        <v>1020.8374904351153</v>
      </c>
      <c r="I11" s="13">
        <f>H11*(28.3%*94%)+H11*1.2%</f>
        <v>283.81323909077076</v>
      </c>
      <c r="J11" s="15">
        <f t="shared" si="1"/>
        <v>221.30156456160648</v>
      </c>
      <c r="K11" s="15">
        <f t="shared" si="6"/>
        <v>2655.6187747392778</v>
      </c>
      <c r="L11" s="16" t="s">
        <v>27</v>
      </c>
    </row>
    <row r="12" spans="1:12" ht="18.75" customHeight="1" thickBot="1" x14ac:dyDescent="0.35">
      <c r="A12" s="21" t="s">
        <v>15</v>
      </c>
      <c r="B12" s="22">
        <f t="shared" si="2"/>
        <v>6134.180037010924</v>
      </c>
      <c r="C12" s="23">
        <f>+'DATOS ENTRADA'!F15</f>
        <v>0.03</v>
      </c>
      <c r="D12" s="24">
        <v>0.03</v>
      </c>
      <c r="E12" s="22">
        <f t="shared" si="3"/>
        <v>5243.6656151481684</v>
      </c>
      <c r="F12" s="25">
        <f t="shared" si="4"/>
        <v>2064.0800370109241</v>
      </c>
      <c r="G12" s="22">
        <f>F12*(28.3%*94%+1.2%)</f>
        <v>573.85553188977724</v>
      </c>
      <c r="H12" s="26">
        <f t="shared" si="5"/>
        <v>1173.5656151481685</v>
      </c>
      <c r="I12" s="22">
        <f>H12*(28.3%*94%)+H12*1.2%</f>
        <v>326.27471232349382</v>
      </c>
      <c r="J12" s="27">
        <f t="shared" si="1"/>
        <v>247.58081956628342</v>
      </c>
      <c r="K12" s="27">
        <f t="shared" si="6"/>
        <v>2970.9698347954009</v>
      </c>
      <c r="L12" s="28" t="s">
        <v>28</v>
      </c>
    </row>
    <row r="13" spans="1:12" ht="24.95" customHeight="1" thickBot="1" x14ac:dyDescent="0.35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 thickBot="1" x14ac:dyDescent="0.35">
      <c r="A14" s="29"/>
      <c r="B14" s="29"/>
      <c r="C14" s="30"/>
      <c r="D14" s="29"/>
      <c r="E14" s="29"/>
      <c r="F14" s="29"/>
      <c r="G14" s="29"/>
      <c r="H14" s="29"/>
      <c r="I14" s="29"/>
      <c r="J14" s="45" t="s">
        <v>47</v>
      </c>
      <c r="K14" s="46"/>
      <c r="L14" s="46"/>
    </row>
    <row r="15" spans="1:12" ht="24.95" customHeight="1" thickBot="1" x14ac:dyDescent="0.35">
      <c r="C15" s="49" t="s">
        <v>49</v>
      </c>
      <c r="D15" s="29"/>
      <c r="E15" s="44">
        <v>2024</v>
      </c>
      <c r="G15" s="29"/>
      <c r="H15" s="29"/>
      <c r="I15" s="29"/>
      <c r="J15" s="47" t="s">
        <v>48</v>
      </c>
      <c r="K15" s="47" t="s">
        <v>19</v>
      </c>
      <c r="L15" s="47" t="s">
        <v>50</v>
      </c>
    </row>
    <row r="16" spans="1:12" ht="24.95" customHeight="1" thickBot="1" x14ac:dyDescent="0.35">
      <c r="A16" s="33">
        <v>2025</v>
      </c>
      <c r="C16" s="49" t="s">
        <v>59</v>
      </c>
      <c r="D16" s="29"/>
      <c r="E16" s="44" t="s">
        <v>46</v>
      </c>
      <c r="F16" s="29"/>
      <c r="J16" s="43">
        <f>'DATOS ENTRADA'!D5</f>
        <v>4</v>
      </c>
      <c r="K16" s="43">
        <f>'DATOS ENTRADA'!E5</f>
        <v>2029</v>
      </c>
      <c r="L16" s="48">
        <f>'DATOS ENTRADA'!F5</f>
        <v>0.14000000000000001</v>
      </c>
    </row>
    <row r="17" spans="1:7" ht="24.95" customHeight="1" x14ac:dyDescent="0.3">
      <c r="A17" s="33"/>
      <c r="C17" s="29"/>
      <c r="D17" s="29"/>
      <c r="E17" s="29"/>
      <c r="F17" s="29"/>
    </row>
    <row r="18" spans="1:7" ht="24.95" customHeight="1" thickBot="1" x14ac:dyDescent="0.35">
      <c r="A18" s="33">
        <v>2026</v>
      </c>
      <c r="C18" s="31" t="s">
        <v>17</v>
      </c>
      <c r="D18" s="32"/>
      <c r="E18" s="32"/>
    </row>
    <row r="19" spans="1:7" ht="24.95" customHeight="1" thickTop="1" thickBot="1" x14ac:dyDescent="0.45">
      <c r="A19" s="33">
        <v>2027</v>
      </c>
      <c r="C19" s="34" t="s">
        <v>18</v>
      </c>
      <c r="D19" s="32"/>
      <c r="E19" s="35">
        <f>IF(K$16=2025,+K$6+K$7*(($J$16-1)/12),IF(K$16=2026,+K$6+K$7+K$8*(($J$16-1)/12),IF(K$16=2027,+K$6+K$7+K$8+K$9*(($J$16-1)/12),IF(K$16=2028,+K$6+K$7+K$8+K$9+K$10*(($J$16-1)/12),IF(K$16=2029,+K$6+K$7+K$8+K$9+K$10+K$11*(($J$16-1)/12),IF(K$16=2030,+K$6+K$7+K$8+K$9+K$10+K$11+K$12*(($J$16-1)/12),"ELIGE AÑO"))))))</f>
        <v>9660.437287437122</v>
      </c>
    </row>
    <row r="20" spans="1:7" ht="24.95" customHeight="1" thickTop="1" x14ac:dyDescent="0.3">
      <c r="A20" s="33">
        <v>2028</v>
      </c>
      <c r="C20" s="36" t="s">
        <v>16</v>
      </c>
      <c r="D20" s="32"/>
      <c r="E20" s="32"/>
    </row>
    <row r="21" spans="1:7" ht="24.95" customHeight="1" x14ac:dyDescent="0.4">
      <c r="A21" s="33">
        <v>2029</v>
      </c>
      <c r="C21" s="32"/>
      <c r="D21" s="32"/>
      <c r="E21" s="32"/>
      <c r="G21" s="37"/>
    </row>
    <row r="22" spans="1:7" ht="24.95" customHeight="1" thickBot="1" x14ac:dyDescent="0.3">
      <c r="A22" s="33">
        <v>2030</v>
      </c>
      <c r="C22" s="147" t="s">
        <v>31</v>
      </c>
      <c r="D22" s="32"/>
      <c r="E22" s="32"/>
    </row>
    <row r="23" spans="1:7" ht="24.95" customHeight="1" thickTop="1" thickBot="1" x14ac:dyDescent="0.45">
      <c r="A23" s="33"/>
      <c r="C23" s="148"/>
      <c r="D23" s="32"/>
      <c r="E23" s="35">
        <f>(IF(K$16=2025,+F$6*12+F$7*($J$16-1),IF(K$16=2026,+F$6*12+F$7*12+F$8*($J$16-1),IF(K$16=2027,+F$6*12+F$7*12+F$8*12+F$9*($J$16-1),IF(K$16=2028,+F$6*12+F$7*12+F$8*12+F$9*12+F$10*($J$16-1),IF(K$16=2029,+F$6*12+F$7*12+F$8*12+F$9*12+F$10*12+F$11*($J$16-1),IF(K$16=2030,+F$6*12+F$7*12+F$8*12+F$9*12+F$10*12+F$11*12+F$12*($J$16-1),"ELIGE AÑO"))))))/350*(1-L16))</f>
        <v>181.09494387037975</v>
      </c>
    </row>
    <row r="24" spans="1:7" ht="24.95" customHeight="1" thickTop="1" x14ac:dyDescent="0.25">
      <c r="C24" s="149"/>
      <c r="D24" s="32"/>
      <c r="E24" s="32"/>
    </row>
    <row r="25" spans="1:7" ht="24.95" customHeight="1" x14ac:dyDescent="0.25">
      <c r="C25" s="39" t="s">
        <v>29</v>
      </c>
      <c r="D25" s="32"/>
      <c r="E25" s="32"/>
    </row>
    <row r="26" spans="1:7" ht="24.95" customHeight="1" x14ac:dyDescent="0.25">
      <c r="C26" s="32"/>
      <c r="D26" s="32"/>
      <c r="E26" s="32"/>
    </row>
    <row r="27" spans="1:7" ht="24.95" customHeight="1" thickBot="1" x14ac:dyDescent="0.3">
      <c r="C27" s="147" t="s">
        <v>32</v>
      </c>
      <c r="D27" s="32"/>
      <c r="E27" s="32"/>
    </row>
    <row r="28" spans="1:7" ht="24.95" customHeight="1" thickTop="1" thickBot="1" x14ac:dyDescent="0.45">
      <c r="C28" s="148"/>
      <c r="D28" s="32"/>
      <c r="E28" s="40">
        <f>E19/(E23*14)</f>
        <v>3.8103285495967958</v>
      </c>
    </row>
    <row r="29" spans="1:7" ht="15.75" thickTop="1" x14ac:dyDescent="0.25">
      <c r="C29" s="149"/>
      <c r="D29" s="32"/>
      <c r="E29" s="32"/>
    </row>
    <row r="30" spans="1:7" x14ac:dyDescent="0.25">
      <c r="C30" s="41" t="s">
        <v>33</v>
      </c>
    </row>
    <row r="32" spans="1:7" x14ac:dyDescent="0.25">
      <c r="A32" s="42">
        <v>0.12</v>
      </c>
    </row>
    <row r="33" spans="1:1" x14ac:dyDescent="0.25">
      <c r="A33" s="42">
        <v>0.13</v>
      </c>
    </row>
    <row r="34" spans="1:1" x14ac:dyDescent="0.25">
      <c r="A34" s="42">
        <v>0.14000000000000001</v>
      </c>
    </row>
    <row r="35" spans="1:1" x14ac:dyDescent="0.25">
      <c r="A35" s="42">
        <v>0.15</v>
      </c>
    </row>
    <row r="42" spans="1:1" x14ac:dyDescent="0.25">
      <c r="A42" s="33">
        <v>1</v>
      </c>
    </row>
    <row r="43" spans="1:1" x14ac:dyDescent="0.25">
      <c r="A43" s="33">
        <v>2</v>
      </c>
    </row>
    <row r="44" spans="1:1" x14ac:dyDescent="0.25">
      <c r="A44" s="33">
        <v>3</v>
      </c>
    </row>
    <row r="45" spans="1:1" x14ac:dyDescent="0.25">
      <c r="A45" s="33">
        <v>4</v>
      </c>
    </row>
    <row r="46" spans="1:1" x14ac:dyDescent="0.25">
      <c r="A46" s="33">
        <v>5</v>
      </c>
    </row>
    <row r="47" spans="1:1" x14ac:dyDescent="0.25">
      <c r="A47" s="33">
        <v>6</v>
      </c>
    </row>
    <row r="48" spans="1:1" x14ac:dyDescent="0.25">
      <c r="A48" s="33">
        <v>7</v>
      </c>
    </row>
    <row r="49" spans="1:1" x14ac:dyDescent="0.25">
      <c r="A49" s="33">
        <v>8</v>
      </c>
    </row>
    <row r="50" spans="1:1" x14ac:dyDescent="0.25">
      <c r="A50" s="33">
        <v>9</v>
      </c>
    </row>
    <row r="51" spans="1:1" x14ac:dyDescent="0.25">
      <c r="A51" s="33">
        <v>10</v>
      </c>
    </row>
    <row r="52" spans="1:1" x14ac:dyDescent="0.25">
      <c r="A52" s="33">
        <v>11</v>
      </c>
    </row>
    <row r="53" spans="1:1" x14ac:dyDescent="0.25">
      <c r="A53" s="33">
        <v>12</v>
      </c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>
        <v>2024</v>
      </c>
    </row>
    <row r="62" spans="1:1" x14ac:dyDescent="0.25">
      <c r="A62" s="33">
        <v>2025</v>
      </c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</sheetData>
  <sheetProtection sheet="1" objects="1" scenarios="1"/>
  <mergeCells count="4">
    <mergeCell ref="A1:E1"/>
    <mergeCell ref="F1:L1"/>
    <mergeCell ref="C22:C24"/>
    <mergeCell ref="C27:C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>
      <selection activeCell="B7" sqref="B7"/>
    </sheetView>
  </sheetViews>
  <sheetFormatPr baseColWidth="10" defaultRowHeight="15" x14ac:dyDescent="0.25"/>
  <cols>
    <col min="1" max="1" width="11" bestFit="1" customWidth="1"/>
    <col min="2" max="2" width="15.7109375" customWidth="1"/>
    <col min="3" max="3" width="21.28515625" customWidth="1"/>
    <col min="4" max="4" width="10.7109375" bestFit="1" customWidth="1"/>
    <col min="5" max="5" width="20.7109375" bestFit="1" customWidth="1"/>
    <col min="6" max="11" width="15.7109375" customWidth="1"/>
    <col min="12" max="12" width="35.7109375" customWidth="1"/>
  </cols>
  <sheetData>
    <row r="1" spans="1:12" s="1" customFormat="1" ht="39" customHeight="1" thickBot="1" x14ac:dyDescent="0.3">
      <c r="A1" s="141" t="s">
        <v>22</v>
      </c>
      <c r="B1" s="142"/>
      <c r="C1" s="142"/>
      <c r="D1" s="142"/>
      <c r="E1" s="143"/>
      <c r="F1" s="144" t="s">
        <v>4</v>
      </c>
      <c r="G1" s="145"/>
      <c r="H1" s="145"/>
      <c r="I1" s="145"/>
      <c r="J1" s="145"/>
      <c r="K1" s="145"/>
      <c r="L1" s="146"/>
    </row>
    <row r="2" spans="1:12" ht="94.5" thickBot="1" x14ac:dyDescent="0.3">
      <c r="A2" s="2" t="s">
        <v>19</v>
      </c>
      <c r="B2" s="2" t="s">
        <v>0</v>
      </c>
      <c r="C2" s="3" t="s">
        <v>35</v>
      </c>
      <c r="D2" s="3" t="s">
        <v>5</v>
      </c>
      <c r="E2" s="3" t="s">
        <v>10</v>
      </c>
      <c r="F2" s="2" t="s">
        <v>1</v>
      </c>
      <c r="G2" s="2" t="s">
        <v>2</v>
      </c>
      <c r="H2" s="3" t="s">
        <v>21</v>
      </c>
      <c r="I2" s="3" t="s">
        <v>20</v>
      </c>
      <c r="J2" s="4" t="s">
        <v>8</v>
      </c>
      <c r="K2" s="4" t="s">
        <v>9</v>
      </c>
      <c r="L2" s="5" t="s">
        <v>3</v>
      </c>
    </row>
    <row r="3" spans="1:12" ht="18.75" customHeight="1" x14ac:dyDescent="0.3">
      <c r="A3" s="6">
        <v>2021</v>
      </c>
      <c r="B3" s="7">
        <v>4070.1</v>
      </c>
      <c r="C3" s="8"/>
      <c r="D3" s="9"/>
      <c r="E3" s="7">
        <v>4070.1</v>
      </c>
      <c r="F3" s="7"/>
      <c r="G3" s="7"/>
      <c r="H3" s="7"/>
      <c r="I3" s="7"/>
      <c r="J3" s="10"/>
      <c r="K3" s="10"/>
      <c r="L3" s="11"/>
    </row>
    <row r="4" spans="1:12" ht="18.75" customHeight="1" x14ac:dyDescent="0.3">
      <c r="A4" s="12">
        <v>2022</v>
      </c>
      <c r="B4" s="13"/>
      <c r="C4" s="14"/>
      <c r="D4" s="14">
        <v>1.7000000000000001E-2</v>
      </c>
      <c r="E4" s="13">
        <v>4139.3999999999996</v>
      </c>
      <c r="F4" s="13"/>
      <c r="G4" s="13"/>
      <c r="H4" s="13"/>
      <c r="I4" s="13"/>
      <c r="J4" s="15"/>
      <c r="K4" s="15"/>
      <c r="L4" s="16"/>
    </row>
    <row r="5" spans="1:12" ht="18.75" customHeight="1" x14ac:dyDescent="0.3">
      <c r="A5" s="12">
        <v>2023</v>
      </c>
      <c r="B5" s="13"/>
      <c r="C5" s="14"/>
      <c r="D5" s="14">
        <v>0.03</v>
      </c>
      <c r="E5" s="13">
        <v>4263.58</v>
      </c>
      <c r="F5" s="13"/>
      <c r="G5" s="13"/>
      <c r="H5" s="13"/>
      <c r="I5" s="13"/>
      <c r="J5" s="15"/>
      <c r="K5" s="15"/>
      <c r="L5" s="16"/>
    </row>
    <row r="6" spans="1:12" ht="18.75" customHeight="1" x14ac:dyDescent="0.3">
      <c r="A6" s="12" t="s">
        <v>23</v>
      </c>
      <c r="B6" s="13" t="str">
        <f>IF(E15=2025,"",B3+B3*(C6+0.012))</f>
        <v/>
      </c>
      <c r="C6" s="17">
        <f>+'DATOS ENTRADA'!F9</f>
        <v>4.9000000000000002E-2</v>
      </c>
      <c r="D6" s="14">
        <v>0.03</v>
      </c>
      <c r="E6" s="13">
        <f>E5*1.03</f>
        <v>4391.4874</v>
      </c>
      <c r="F6" s="18">
        <f>IF(E15=2025,0,B6-E3)</f>
        <v>0</v>
      </c>
      <c r="G6" s="13">
        <f>F6*(28.3%*94%+0.7%)</f>
        <v>0</v>
      </c>
      <c r="H6" s="19">
        <f>MIN(F6,IF(E15=2025,0,E6-E3))</f>
        <v>0</v>
      </c>
      <c r="I6" s="13">
        <f>H6*(28.3%*94%)+H6*0.7%</f>
        <v>0</v>
      </c>
      <c r="J6" s="15">
        <f>IF(G6&lt;I6,0,G6-I6)</f>
        <v>0</v>
      </c>
      <c r="K6" s="15">
        <f>J6*12</f>
        <v>0</v>
      </c>
      <c r="L6" s="16" t="s">
        <v>6</v>
      </c>
    </row>
    <row r="7" spans="1:12" ht="18.75" customHeight="1" x14ac:dyDescent="0.3">
      <c r="A7" s="20" t="s">
        <v>24</v>
      </c>
      <c r="B7" s="13">
        <f>IF(E15=2025,B3+B3*(C7+0.012),B6+B6*(C7+0.012))</f>
        <v>4261.3946999999998</v>
      </c>
      <c r="C7" s="17">
        <f>+'DATOS ENTRADA'!F10</f>
        <v>3.5000000000000003E-2</v>
      </c>
      <c r="D7" s="14">
        <v>0.03</v>
      </c>
      <c r="E7" s="13">
        <f>E6*1.03</f>
        <v>4523.2320220000001</v>
      </c>
      <c r="F7" s="18">
        <f>B7-E$3</f>
        <v>191.29469999999992</v>
      </c>
      <c r="G7" s="13">
        <f>F7*(28.3%*94%+0.8%)</f>
        <v>52.418573693999988</v>
      </c>
      <c r="H7" s="19">
        <f>MIN(F7,(E7-E$3))</f>
        <v>191.29469999999992</v>
      </c>
      <c r="I7" s="13">
        <f t="shared" ref="I7" si="0">H7*(28.3%*94%)+H7*0.8%</f>
        <v>52.418573693999988</v>
      </c>
      <c r="J7" s="15">
        <f t="shared" ref="J7:J12" si="1">IF(G7&lt;I7,0,G7-I7)</f>
        <v>0</v>
      </c>
      <c r="K7" s="15">
        <f>J7*12</f>
        <v>0</v>
      </c>
      <c r="L7" s="16" t="s">
        <v>7</v>
      </c>
    </row>
    <row r="8" spans="1:12" ht="18.75" customHeight="1" x14ac:dyDescent="0.3">
      <c r="A8" s="20" t="s">
        <v>11</v>
      </c>
      <c r="B8" s="13">
        <f t="shared" ref="B8:B12" si="2">B7+B7*(C8+0.012)</f>
        <v>4440.3732774</v>
      </c>
      <c r="C8" s="17">
        <f>+'DATOS ENTRADA'!F11</f>
        <v>0.03</v>
      </c>
      <c r="D8" s="14">
        <v>0.03</v>
      </c>
      <c r="E8" s="13">
        <f t="shared" ref="E8:E12" si="3">E7*1.03</f>
        <v>4658.9289826600007</v>
      </c>
      <c r="F8" s="18">
        <f t="shared" ref="F8:F12" si="4">B8-E$3</f>
        <v>370.2732774000001</v>
      </c>
      <c r="G8" s="13">
        <f>F8*(28.3%*94%+0.9%)</f>
        <v>101.83255675054804</v>
      </c>
      <c r="H8" s="19">
        <f t="shared" ref="H8:H12" si="5">MIN(F8,(E8-E$3))</f>
        <v>370.2732774000001</v>
      </c>
      <c r="I8" s="13">
        <f>H8*(28.3%*94%)+H8*0.9%</f>
        <v>101.83255675054804</v>
      </c>
      <c r="J8" s="15">
        <f t="shared" si="1"/>
        <v>0</v>
      </c>
      <c r="K8" s="15">
        <f t="shared" ref="K8:K12" si="6">J8*12</f>
        <v>0</v>
      </c>
      <c r="L8" s="16" t="s">
        <v>25</v>
      </c>
    </row>
    <row r="9" spans="1:12" ht="18.75" customHeight="1" x14ac:dyDescent="0.3">
      <c r="A9" s="12" t="s">
        <v>12</v>
      </c>
      <c r="B9" s="13">
        <f t="shared" si="2"/>
        <v>4626.8689550507997</v>
      </c>
      <c r="C9" s="17">
        <f>+'DATOS ENTRADA'!F12</f>
        <v>0.03</v>
      </c>
      <c r="D9" s="14">
        <v>0.03</v>
      </c>
      <c r="E9" s="13">
        <f t="shared" si="3"/>
        <v>4798.6968521398012</v>
      </c>
      <c r="F9" s="18">
        <f t="shared" si="4"/>
        <v>556.76895505079983</v>
      </c>
      <c r="G9" s="13">
        <f>F9*(28.3%*94%+1%)</f>
        <v>153.6793669731218</v>
      </c>
      <c r="H9" s="19">
        <f t="shared" si="5"/>
        <v>556.76895505079983</v>
      </c>
      <c r="I9" s="13">
        <f>H9*(28.3%*94%)+H9*1%</f>
        <v>153.67936697312177</v>
      </c>
      <c r="J9" s="15">
        <f t="shared" si="1"/>
        <v>2.8421709430404007E-14</v>
      </c>
      <c r="K9" s="15">
        <f t="shared" si="6"/>
        <v>3.4106051316484809E-13</v>
      </c>
      <c r="L9" s="16" t="s">
        <v>30</v>
      </c>
    </row>
    <row r="10" spans="1:12" ht="18.75" customHeight="1" x14ac:dyDescent="0.3">
      <c r="A10" s="12" t="s">
        <v>13</v>
      </c>
      <c r="B10" s="13">
        <f t="shared" si="2"/>
        <v>4821.1974511629332</v>
      </c>
      <c r="C10" s="17">
        <f>+'DATOS ENTRADA'!F13</f>
        <v>0.03</v>
      </c>
      <c r="D10" s="14">
        <v>0.03</v>
      </c>
      <c r="E10" s="13">
        <f t="shared" si="3"/>
        <v>4942.6577577039952</v>
      </c>
      <c r="F10" s="18">
        <f t="shared" si="4"/>
        <v>751.09745116293334</v>
      </c>
      <c r="G10" s="13">
        <f>F10*(28.3%*94%+1.1%)</f>
        <v>208.06901592115582</v>
      </c>
      <c r="H10" s="19">
        <f t="shared" si="5"/>
        <v>751.09745116293334</v>
      </c>
      <c r="I10" s="13">
        <f>H10*(28.3%*94%)+H10*1.1%</f>
        <v>208.06901592115582</v>
      </c>
      <c r="J10" s="15">
        <f t="shared" si="1"/>
        <v>0</v>
      </c>
      <c r="K10" s="15">
        <f t="shared" si="6"/>
        <v>0</v>
      </c>
      <c r="L10" s="16" t="s">
        <v>26</v>
      </c>
    </row>
    <row r="11" spans="1:12" ht="18.75" customHeight="1" x14ac:dyDescent="0.3">
      <c r="A11" s="12" t="s">
        <v>14</v>
      </c>
      <c r="B11" s="13">
        <f t="shared" si="2"/>
        <v>5023.6877441117767</v>
      </c>
      <c r="C11" s="17">
        <f>+'DATOS ENTRADA'!F14</f>
        <v>0.03</v>
      </c>
      <c r="D11" s="14">
        <v>0.03</v>
      </c>
      <c r="E11" s="13">
        <f t="shared" si="3"/>
        <v>5090.9374904351153</v>
      </c>
      <c r="F11" s="18">
        <f t="shared" si="4"/>
        <v>953.58774411177683</v>
      </c>
      <c r="G11" s="13">
        <f>F11*(28.3%*94%+1.2%)</f>
        <v>265.11646461795624</v>
      </c>
      <c r="H11" s="19">
        <f t="shared" si="5"/>
        <v>953.58774411177683</v>
      </c>
      <c r="I11" s="13">
        <f>H11*(28.3%*94%)+H11*1.2%</f>
        <v>265.11646461795624</v>
      </c>
      <c r="J11" s="15">
        <f t="shared" si="1"/>
        <v>0</v>
      </c>
      <c r="K11" s="15">
        <f t="shared" si="6"/>
        <v>0</v>
      </c>
      <c r="L11" s="16" t="s">
        <v>27</v>
      </c>
    </row>
    <row r="12" spans="1:12" ht="18.75" customHeight="1" thickBot="1" x14ac:dyDescent="0.35">
      <c r="A12" s="21" t="s">
        <v>15</v>
      </c>
      <c r="B12" s="22">
        <f t="shared" si="2"/>
        <v>5234.6826293644717</v>
      </c>
      <c r="C12" s="23">
        <f>+'DATOS ENTRADA'!F15</f>
        <v>0.03</v>
      </c>
      <c r="D12" s="24">
        <v>0.03</v>
      </c>
      <c r="E12" s="22">
        <f t="shared" si="3"/>
        <v>5243.6656151481684</v>
      </c>
      <c r="F12" s="25">
        <f t="shared" si="4"/>
        <v>1164.5826293644718</v>
      </c>
      <c r="G12" s="22">
        <f>F12*(28.3%*94%+1.2%)</f>
        <v>323.7772626159105</v>
      </c>
      <c r="H12" s="26">
        <f t="shared" si="5"/>
        <v>1164.5826293644718</v>
      </c>
      <c r="I12" s="22">
        <f>H12*(28.3%*94%)+H12*1.2%</f>
        <v>323.77726261591044</v>
      </c>
      <c r="J12" s="27">
        <f t="shared" si="1"/>
        <v>5.6843418860808015E-14</v>
      </c>
      <c r="K12" s="27">
        <f t="shared" si="6"/>
        <v>6.8212102632969618E-13</v>
      </c>
      <c r="L12" s="28" t="s">
        <v>28</v>
      </c>
    </row>
    <row r="13" spans="1:12" ht="24.95" customHeight="1" thickBot="1" x14ac:dyDescent="0.35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 thickBot="1" x14ac:dyDescent="0.35">
      <c r="A14" s="29"/>
      <c r="B14" s="29"/>
      <c r="C14" s="29"/>
      <c r="D14" s="29"/>
      <c r="E14" s="29"/>
      <c r="F14" s="29"/>
      <c r="J14" s="45" t="s">
        <v>47</v>
      </c>
      <c r="K14" s="46"/>
      <c r="L14" s="46"/>
    </row>
    <row r="15" spans="1:12" ht="24.95" customHeight="1" thickBot="1" x14ac:dyDescent="0.35">
      <c r="A15" s="29"/>
      <c r="B15" s="29"/>
      <c r="C15" s="49" t="s">
        <v>49</v>
      </c>
      <c r="D15" s="29"/>
      <c r="E15" s="44">
        <v>2025</v>
      </c>
      <c r="F15" s="29"/>
      <c r="J15" s="47" t="s">
        <v>48</v>
      </c>
      <c r="K15" s="47" t="s">
        <v>19</v>
      </c>
      <c r="L15" s="47" t="s">
        <v>50</v>
      </c>
    </row>
    <row r="16" spans="1:12" ht="24.95" customHeight="1" thickBot="1" x14ac:dyDescent="0.35">
      <c r="A16" s="29"/>
      <c r="B16" s="29"/>
      <c r="C16" s="49" t="s">
        <v>59</v>
      </c>
      <c r="D16" s="29"/>
      <c r="E16" s="44" t="s">
        <v>44</v>
      </c>
      <c r="F16" s="29"/>
      <c r="J16" s="43">
        <f>'DATOS ENTRADA'!$D$5</f>
        <v>4</v>
      </c>
      <c r="K16" s="43">
        <f>'DATOS ENTRADA'!$E$5</f>
        <v>2029</v>
      </c>
      <c r="L16" s="48">
        <f>'DATOS ENTRADA'!$F$5</f>
        <v>0.14000000000000001</v>
      </c>
    </row>
    <row r="17" spans="1:11" ht="24.95" customHeight="1" x14ac:dyDescent="0.3">
      <c r="A17" s="29"/>
      <c r="B17" s="29"/>
      <c r="C17" s="29"/>
      <c r="D17" s="29"/>
      <c r="E17" s="29"/>
      <c r="F17" s="29"/>
    </row>
    <row r="18" spans="1:11" ht="24.95" customHeight="1" thickBot="1" x14ac:dyDescent="0.35">
      <c r="C18" s="31" t="s">
        <v>17</v>
      </c>
      <c r="D18" s="32"/>
      <c r="E18" s="32"/>
    </row>
    <row r="19" spans="1:11" ht="24.95" customHeight="1" thickTop="1" thickBot="1" x14ac:dyDescent="0.45">
      <c r="A19" s="33">
        <v>2025</v>
      </c>
      <c r="C19" s="34" t="s">
        <v>18</v>
      </c>
      <c r="D19" s="32"/>
      <c r="E19" s="35">
        <f>IF(K$16=2025,+K$6+K$7*(($J$16-1)/12),IF(K$16=2026,+K$6+K$7+K$8*(($J$16-1)/12),IF(K$16=2027,+K$6+K$7+K$8+K$9*(($J$16-1)/12),IF(K$16=2028,+K$6+K$7+K$8+K$9+K$10*(($J$16-1)/12),IF(K$16=2029,+K$6+K$7+K$8+K$9+K$10+K$11*(($J$16-1)/12),IF(K$16=2030,+K$6+K$7+K$8+K$9+K$10+K$11+K$12*(($J$16-1)/12),"ELIGE AÑO"))))))</f>
        <v>3.4106051316484809E-13</v>
      </c>
    </row>
    <row r="20" spans="1:11" ht="24.95" customHeight="1" thickTop="1" x14ac:dyDescent="0.3">
      <c r="A20" s="33">
        <v>2026</v>
      </c>
      <c r="C20" s="36" t="s">
        <v>16</v>
      </c>
      <c r="D20" s="32"/>
      <c r="E20" s="32"/>
    </row>
    <row r="21" spans="1:11" ht="24.95" customHeight="1" x14ac:dyDescent="0.4">
      <c r="A21" s="33">
        <v>2027</v>
      </c>
      <c r="C21" s="32"/>
      <c r="D21" s="32"/>
      <c r="E21" s="32"/>
      <c r="K21" s="37"/>
    </row>
    <row r="22" spans="1:11" ht="24.95" customHeight="1" thickBot="1" x14ac:dyDescent="0.3">
      <c r="A22" s="33">
        <v>2028</v>
      </c>
      <c r="C22" s="147" t="s">
        <v>31</v>
      </c>
      <c r="D22" s="32"/>
      <c r="E22" s="32"/>
    </row>
    <row r="23" spans="1:11" ht="24.95" customHeight="1" thickTop="1" thickBot="1" x14ac:dyDescent="0.45">
      <c r="A23" s="33">
        <v>2029</v>
      </c>
      <c r="C23" s="148"/>
      <c r="D23" s="32"/>
      <c r="E23" s="35">
        <f>(IF(K$16=2025,+F$6*12+F$7*($J$16-1),IF(K$16=2026,+F$6*12+F$7*12+F$8*($J$16-1),IF(K$16=2027,+F$6*12+F$7*12+F$8*12+F$9*($J$16-1),IF(K$16=2028,+F$6*12+F$7*12+F$8*12+F$9*12+F$10*($J$16-1),IF(K$16=2029,+F$6*12+F$7*12+F$8*12+F$9*12+F$10*12+F$11*($J$16-1),IF(K$16=2030,+F$6*12+F$7*12+F$8*12+F$9*12+F$10*12+F$11*12+F$12*($J$16-1),"ELIGE AÑO"))))))/350*(1-L16))</f>
        <v>62.15091205343461</v>
      </c>
    </row>
    <row r="24" spans="1:11" ht="24.95" customHeight="1" thickTop="1" x14ac:dyDescent="0.25">
      <c r="A24" s="33">
        <v>2030</v>
      </c>
      <c r="C24" s="149"/>
      <c r="D24" s="32"/>
      <c r="E24" s="32"/>
    </row>
    <row r="25" spans="1:11" ht="24.95" customHeight="1" x14ac:dyDescent="0.25">
      <c r="A25" s="38"/>
      <c r="C25" s="39" t="s">
        <v>29</v>
      </c>
      <c r="D25" s="32"/>
      <c r="E25" s="32"/>
    </row>
    <row r="26" spans="1:11" ht="24.95" customHeight="1" x14ac:dyDescent="0.25">
      <c r="C26" s="32"/>
      <c r="D26" s="32"/>
      <c r="E26" s="32"/>
    </row>
    <row r="27" spans="1:11" ht="24.95" customHeight="1" thickBot="1" x14ac:dyDescent="0.3">
      <c r="C27" s="147" t="s">
        <v>32</v>
      </c>
      <c r="D27" s="32"/>
      <c r="E27" s="32"/>
    </row>
    <row r="28" spans="1:11" ht="24.95" customHeight="1" thickTop="1" thickBot="1" x14ac:dyDescent="0.45">
      <c r="C28" s="148"/>
      <c r="D28" s="32"/>
      <c r="E28" s="40">
        <f>E19/(E23*14)</f>
        <v>3.9197277113352196E-16</v>
      </c>
    </row>
    <row r="29" spans="1:11" ht="24.95" customHeight="1" thickTop="1" x14ac:dyDescent="0.25">
      <c r="C29" s="149"/>
      <c r="D29" s="32"/>
      <c r="E29" s="32"/>
    </row>
    <row r="30" spans="1:11" ht="24.95" customHeight="1" x14ac:dyDescent="0.25">
      <c r="C30" s="41" t="s">
        <v>33</v>
      </c>
    </row>
    <row r="31" spans="1:11" ht="24.95" customHeight="1" x14ac:dyDescent="0.25"/>
    <row r="34" spans="1:1" x14ac:dyDescent="0.25">
      <c r="A34" s="42">
        <v>0.12</v>
      </c>
    </row>
    <row r="35" spans="1:1" x14ac:dyDescent="0.25">
      <c r="A35" s="42">
        <v>0.13</v>
      </c>
    </row>
    <row r="36" spans="1:1" x14ac:dyDescent="0.25">
      <c r="A36" s="42">
        <v>0.14000000000000001</v>
      </c>
    </row>
    <row r="37" spans="1:1" x14ac:dyDescent="0.25">
      <c r="A37" s="42">
        <v>0.15</v>
      </c>
    </row>
    <row r="44" spans="1:1" x14ac:dyDescent="0.25">
      <c r="A44" s="33">
        <v>1</v>
      </c>
    </row>
    <row r="45" spans="1:1" x14ac:dyDescent="0.25">
      <c r="A45" s="33">
        <v>2</v>
      </c>
    </row>
    <row r="46" spans="1:1" x14ac:dyDescent="0.25">
      <c r="A46" s="33">
        <v>3</v>
      </c>
    </row>
    <row r="47" spans="1:1" x14ac:dyDescent="0.25">
      <c r="A47" s="33">
        <v>4</v>
      </c>
    </row>
    <row r="48" spans="1:1" x14ac:dyDescent="0.25">
      <c r="A48" s="33">
        <v>5</v>
      </c>
    </row>
    <row r="49" spans="1:1" x14ac:dyDescent="0.25">
      <c r="A49" s="33">
        <v>6</v>
      </c>
    </row>
    <row r="50" spans="1:1" x14ac:dyDescent="0.25">
      <c r="A50" s="33">
        <v>7</v>
      </c>
    </row>
    <row r="51" spans="1:1" x14ac:dyDescent="0.25">
      <c r="A51" s="33">
        <v>8</v>
      </c>
    </row>
    <row r="52" spans="1:1" x14ac:dyDescent="0.25">
      <c r="A52" s="33">
        <v>9</v>
      </c>
    </row>
    <row r="53" spans="1:1" x14ac:dyDescent="0.25">
      <c r="A53" s="33">
        <v>10</v>
      </c>
    </row>
    <row r="54" spans="1:1" x14ac:dyDescent="0.25">
      <c r="A54" s="33">
        <v>11</v>
      </c>
    </row>
    <row r="55" spans="1:1" x14ac:dyDescent="0.25">
      <c r="A55" s="33">
        <v>12</v>
      </c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>
        <v>2024</v>
      </c>
    </row>
    <row r="64" spans="1:1" x14ac:dyDescent="0.25">
      <c r="A64" s="33">
        <v>2025</v>
      </c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</sheetData>
  <sheetProtection sheet="1" objects="1" scenarios="1"/>
  <mergeCells count="4">
    <mergeCell ref="A1:E1"/>
    <mergeCell ref="F1:L1"/>
    <mergeCell ref="C22:C24"/>
    <mergeCell ref="C27:C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H7" sqref="H7"/>
    </sheetView>
  </sheetViews>
  <sheetFormatPr baseColWidth="10" defaultRowHeight="15" x14ac:dyDescent="0.25"/>
  <cols>
    <col min="1" max="1" width="11" bestFit="1" customWidth="1"/>
    <col min="2" max="2" width="15.7109375" customWidth="1"/>
    <col min="3" max="3" width="21.28515625" customWidth="1"/>
    <col min="4" max="4" width="10.7109375" bestFit="1" customWidth="1"/>
    <col min="5" max="5" width="20.7109375" bestFit="1" customWidth="1"/>
    <col min="6" max="11" width="15.7109375" customWidth="1"/>
    <col min="12" max="12" width="35.7109375" customWidth="1"/>
  </cols>
  <sheetData>
    <row r="1" spans="1:12" s="1" customFormat="1" ht="39" customHeight="1" thickBot="1" x14ac:dyDescent="0.3">
      <c r="A1" s="141" t="s">
        <v>34</v>
      </c>
      <c r="B1" s="142"/>
      <c r="C1" s="142"/>
      <c r="D1" s="142"/>
      <c r="E1" s="143"/>
      <c r="F1" s="144" t="s">
        <v>4</v>
      </c>
      <c r="G1" s="145"/>
      <c r="H1" s="145"/>
      <c r="I1" s="145"/>
      <c r="J1" s="145"/>
      <c r="K1" s="145"/>
      <c r="L1" s="146"/>
    </row>
    <row r="2" spans="1:12" ht="94.5" thickBot="1" x14ac:dyDescent="0.3">
      <c r="A2" s="2" t="s">
        <v>19</v>
      </c>
      <c r="B2" s="2" t="s">
        <v>0</v>
      </c>
      <c r="C2" s="3" t="s">
        <v>35</v>
      </c>
      <c r="D2" s="3" t="s">
        <v>5</v>
      </c>
      <c r="E2" s="3" t="s">
        <v>10</v>
      </c>
      <c r="F2" s="2" t="s">
        <v>1</v>
      </c>
      <c r="G2" s="2" t="s">
        <v>2</v>
      </c>
      <c r="H2" s="3" t="s">
        <v>21</v>
      </c>
      <c r="I2" s="3" t="s">
        <v>20</v>
      </c>
      <c r="J2" s="4" t="s">
        <v>8</v>
      </c>
      <c r="K2" s="4" t="s">
        <v>9</v>
      </c>
      <c r="L2" s="5" t="s">
        <v>3</v>
      </c>
    </row>
    <row r="3" spans="1:12" ht="18.75" customHeight="1" x14ac:dyDescent="0.3">
      <c r="A3" s="6">
        <v>2021</v>
      </c>
      <c r="B3" s="7">
        <v>4070.1</v>
      </c>
      <c r="C3" s="8"/>
      <c r="D3" s="9"/>
      <c r="E3" s="7">
        <v>4070.1</v>
      </c>
      <c r="F3" s="7"/>
      <c r="G3" s="7"/>
      <c r="H3" s="7"/>
      <c r="I3" s="7"/>
      <c r="J3" s="10"/>
      <c r="K3" s="10"/>
      <c r="L3" s="11"/>
    </row>
    <row r="4" spans="1:12" ht="18.75" customHeight="1" x14ac:dyDescent="0.3">
      <c r="A4" s="12">
        <v>2022</v>
      </c>
      <c r="B4" s="13">
        <f>B3*(1+C4)</f>
        <v>4139.2916999999998</v>
      </c>
      <c r="C4" s="14">
        <v>1.7000000000000001E-2</v>
      </c>
      <c r="D4" s="14">
        <v>1.7000000000000001E-2</v>
      </c>
      <c r="E4" s="13">
        <v>4139.3999999999996</v>
      </c>
      <c r="F4" s="13"/>
      <c r="G4" s="13"/>
      <c r="H4" s="13"/>
      <c r="I4" s="13"/>
      <c r="J4" s="15"/>
      <c r="K4" s="15"/>
      <c r="L4" s="16"/>
    </row>
    <row r="5" spans="1:12" ht="18.75" customHeight="1" x14ac:dyDescent="0.3">
      <c r="A5" s="12">
        <v>2023</v>
      </c>
      <c r="B5" s="13">
        <f>B4*(1+C5)</f>
        <v>4495.2707861999997</v>
      </c>
      <c r="C5" s="14">
        <v>8.5999999999999993E-2</v>
      </c>
      <c r="D5" s="14">
        <v>0.03</v>
      </c>
      <c r="E5" s="13">
        <v>4263.58</v>
      </c>
      <c r="F5" s="13"/>
      <c r="G5" s="13"/>
      <c r="H5" s="13"/>
      <c r="I5" s="13"/>
      <c r="J5" s="15"/>
      <c r="K5" s="15"/>
      <c r="L5" s="16"/>
    </row>
    <row r="6" spans="1:12" ht="18.75" customHeight="1" x14ac:dyDescent="0.3">
      <c r="A6" s="12" t="s">
        <v>23</v>
      </c>
      <c r="B6" s="13">
        <f>B5+B5*(C6+0.012)</f>
        <v>4769.4823041581994</v>
      </c>
      <c r="C6" s="17">
        <f>+'DATOS ENTRADA'!F9</f>
        <v>4.9000000000000002E-2</v>
      </c>
      <c r="D6" s="14">
        <v>0.03</v>
      </c>
      <c r="E6" s="13">
        <f>E5*1.03</f>
        <v>4391.4874</v>
      </c>
      <c r="F6" s="18">
        <f>IF(E15=2025,0,B6-E3)</f>
        <v>0</v>
      </c>
      <c r="G6" s="13">
        <f>F6*(28.3%*94%+0.7%)</f>
        <v>0</v>
      </c>
      <c r="H6" s="19">
        <f>IF(E15=2025,0,E6-E3)</f>
        <v>0</v>
      </c>
      <c r="I6" s="13">
        <f>H6*(28.3%*94%)+H6*0.7%</f>
        <v>0</v>
      </c>
      <c r="J6" s="15">
        <f>IF(G6&lt;I6,0,G6-I6)</f>
        <v>0</v>
      </c>
      <c r="K6" s="15">
        <f>J6*12</f>
        <v>0</v>
      </c>
      <c r="L6" s="16" t="s">
        <v>6</v>
      </c>
    </row>
    <row r="7" spans="1:12" ht="18.75" customHeight="1" x14ac:dyDescent="0.3">
      <c r="A7" s="20" t="s">
        <v>24</v>
      </c>
      <c r="B7" s="13">
        <f>B6+B6*(C7+0.012)</f>
        <v>4993.6479724536348</v>
      </c>
      <c r="C7" s="17">
        <f>+'DATOS ENTRADA'!F10</f>
        <v>3.5000000000000003E-2</v>
      </c>
      <c r="D7" s="14">
        <v>0.03</v>
      </c>
      <c r="E7" s="13">
        <f>E6*1.03</f>
        <v>4523.2320220000001</v>
      </c>
      <c r="F7" s="18">
        <f>B7-E$3</f>
        <v>923.54797245363488</v>
      </c>
      <c r="G7" s="13">
        <f>F7*(28.3%*94%+0.8%)</f>
        <v>253.07061541174508</v>
      </c>
      <c r="H7" s="19">
        <f>E7-E$3</f>
        <v>453.13202200000023</v>
      </c>
      <c r="I7" s="13">
        <f t="shared" ref="I7" si="0">H7*(28.3%*94%)+H7*0.8%</f>
        <v>124.16723666844008</v>
      </c>
      <c r="J7" s="15">
        <f t="shared" ref="J7:J12" si="1">IF(G7&lt;I7,0,G7-I7)</f>
        <v>128.90337874330498</v>
      </c>
      <c r="K7" s="15">
        <f>J7*12</f>
        <v>1546.8405449196598</v>
      </c>
      <c r="L7" s="16" t="s">
        <v>7</v>
      </c>
    </row>
    <row r="8" spans="1:12" ht="18.75" customHeight="1" x14ac:dyDescent="0.3">
      <c r="A8" s="20" t="s">
        <v>11</v>
      </c>
      <c r="B8" s="13">
        <f t="shared" ref="B8:B12" si="2">B7+B7*(C8+0.012)</f>
        <v>5203.3811872966871</v>
      </c>
      <c r="C8" s="17">
        <f>+'DATOS ENTRADA'!F11</f>
        <v>0.03</v>
      </c>
      <c r="D8" s="14">
        <v>0.03</v>
      </c>
      <c r="E8" s="13">
        <f t="shared" ref="E8:E12" si="3">E7*1.03</f>
        <v>4658.9289826600007</v>
      </c>
      <c r="F8" s="18">
        <f t="shared" ref="F8:F12" si="4">B8-E$3</f>
        <v>1133.2811872966872</v>
      </c>
      <c r="G8" s="13">
        <f>F8*(28.3%*94%+0.9%)</f>
        <v>311.67499213033494</v>
      </c>
      <c r="H8" s="19">
        <f t="shared" ref="H8:H12" si="5">E8-E$3</f>
        <v>588.82898266000075</v>
      </c>
      <c r="I8" s="13">
        <f>H8*(28.3%*94%)+H8*0.9%</f>
        <v>161.93974681115344</v>
      </c>
      <c r="J8" s="15">
        <f t="shared" si="1"/>
        <v>149.7352453191815</v>
      </c>
      <c r="K8" s="15">
        <f t="shared" ref="K8:K12" si="6">J8*12</f>
        <v>1796.822943830178</v>
      </c>
      <c r="L8" s="16" t="s">
        <v>25</v>
      </c>
    </row>
    <row r="9" spans="1:12" ht="18.75" customHeight="1" x14ac:dyDescent="0.3">
      <c r="A9" s="12" t="s">
        <v>12</v>
      </c>
      <c r="B9" s="13">
        <f t="shared" si="2"/>
        <v>5421.923197163148</v>
      </c>
      <c r="C9" s="17">
        <f>+'DATOS ENTRADA'!F12</f>
        <v>0.03</v>
      </c>
      <c r="D9" s="14">
        <v>0.03</v>
      </c>
      <c r="E9" s="13">
        <f t="shared" si="3"/>
        <v>4798.6968521398012</v>
      </c>
      <c r="F9" s="18">
        <f t="shared" si="4"/>
        <v>1351.8231971631481</v>
      </c>
      <c r="G9" s="13">
        <f>F9*(28.3%*94%+1%)</f>
        <v>373.13023888097217</v>
      </c>
      <c r="H9" s="19">
        <f t="shared" si="5"/>
        <v>728.59685213980129</v>
      </c>
      <c r="I9" s="13">
        <f>H9*(28.3%*94%)+H9*1%</f>
        <v>201.10730312762797</v>
      </c>
      <c r="J9" s="15">
        <f t="shared" si="1"/>
        <v>172.0229357533442</v>
      </c>
      <c r="K9" s="15">
        <f t="shared" si="6"/>
        <v>2064.2752290401304</v>
      </c>
      <c r="L9" s="16" t="s">
        <v>30</v>
      </c>
    </row>
    <row r="10" spans="1:12" ht="18.75" customHeight="1" x14ac:dyDescent="0.3">
      <c r="A10" s="12" t="s">
        <v>13</v>
      </c>
      <c r="B10" s="13">
        <f t="shared" si="2"/>
        <v>5649.6439714440003</v>
      </c>
      <c r="C10" s="17">
        <f>+'DATOS ENTRADA'!F13</f>
        <v>0.03</v>
      </c>
      <c r="D10" s="14">
        <v>0.03</v>
      </c>
      <c r="E10" s="13">
        <f t="shared" si="3"/>
        <v>4942.6577577039952</v>
      </c>
      <c r="F10" s="18">
        <f t="shared" si="4"/>
        <v>1579.5439714440004</v>
      </c>
      <c r="G10" s="13">
        <f>F10*(28.3%*94%+1.1%)</f>
        <v>437.56527096941704</v>
      </c>
      <c r="H10" s="19">
        <f t="shared" si="5"/>
        <v>872.55775770399532</v>
      </c>
      <c r="I10" s="13">
        <f>H10*(28.3%*94%)+H10*1.1%</f>
        <v>241.71595003916082</v>
      </c>
      <c r="J10" s="15">
        <f t="shared" si="1"/>
        <v>195.84932093025623</v>
      </c>
      <c r="K10" s="15">
        <f t="shared" si="6"/>
        <v>2350.1918511630747</v>
      </c>
      <c r="L10" s="16" t="s">
        <v>26</v>
      </c>
    </row>
    <row r="11" spans="1:12" ht="18.75" customHeight="1" x14ac:dyDescent="0.3">
      <c r="A11" s="12" t="s">
        <v>14</v>
      </c>
      <c r="B11" s="13">
        <f t="shared" si="2"/>
        <v>5886.9290182446484</v>
      </c>
      <c r="C11" s="17">
        <f>+'DATOS ENTRADA'!F14</f>
        <v>0.03</v>
      </c>
      <c r="D11" s="14">
        <v>0.03</v>
      </c>
      <c r="E11" s="13">
        <f t="shared" si="3"/>
        <v>5090.9374904351153</v>
      </c>
      <c r="F11" s="18">
        <f t="shared" si="4"/>
        <v>1816.8290182446485</v>
      </c>
      <c r="G11" s="13">
        <f>F11*(28.3%*94%+1.2%)</f>
        <v>505.11480365237725</v>
      </c>
      <c r="H11" s="19">
        <f t="shared" si="5"/>
        <v>1020.8374904351153</v>
      </c>
      <c r="I11" s="13">
        <f>H11*(28.3%*94%)+H11*1.2%</f>
        <v>283.81323909077076</v>
      </c>
      <c r="J11" s="15">
        <f t="shared" si="1"/>
        <v>221.30156456160648</v>
      </c>
      <c r="K11" s="15">
        <f t="shared" si="6"/>
        <v>2655.6187747392778</v>
      </c>
      <c r="L11" s="16" t="s">
        <v>27</v>
      </c>
    </row>
    <row r="12" spans="1:12" ht="18.75" customHeight="1" thickBot="1" x14ac:dyDescent="0.35">
      <c r="A12" s="21" t="s">
        <v>15</v>
      </c>
      <c r="B12" s="22">
        <f t="shared" si="2"/>
        <v>6134.180037010924</v>
      </c>
      <c r="C12" s="23">
        <f>+'DATOS ENTRADA'!F15</f>
        <v>0.03</v>
      </c>
      <c r="D12" s="24">
        <v>0.03</v>
      </c>
      <c r="E12" s="22">
        <f t="shared" si="3"/>
        <v>5243.6656151481684</v>
      </c>
      <c r="F12" s="25">
        <f t="shared" si="4"/>
        <v>2064.0800370109241</v>
      </c>
      <c r="G12" s="22">
        <f>F12*(28.3%*94%+1.2%)</f>
        <v>573.85553188977724</v>
      </c>
      <c r="H12" s="26">
        <f t="shared" si="5"/>
        <v>1173.5656151481685</v>
      </c>
      <c r="I12" s="22">
        <f>H12*(28.3%*94%)+H12*1.2%</f>
        <v>326.27471232349382</v>
      </c>
      <c r="J12" s="27">
        <f t="shared" si="1"/>
        <v>247.58081956628342</v>
      </c>
      <c r="K12" s="27">
        <f t="shared" si="6"/>
        <v>2970.9698347954009</v>
      </c>
      <c r="L12" s="28" t="s">
        <v>28</v>
      </c>
    </row>
    <row r="13" spans="1:12" ht="24.95" customHeight="1" thickBot="1" x14ac:dyDescent="0.35">
      <c r="A13" s="29"/>
      <c r="B13" s="29"/>
      <c r="C13" s="30"/>
      <c r="D13" s="29"/>
      <c r="E13" s="29"/>
      <c r="F13" s="29"/>
      <c r="G13" s="29"/>
      <c r="H13" s="29"/>
      <c r="I13" s="29"/>
      <c r="J13" s="29"/>
      <c r="K13" s="29"/>
      <c r="L13" s="29"/>
    </row>
    <row r="14" spans="1:12" ht="24.95" customHeight="1" thickBot="1" x14ac:dyDescent="0.35">
      <c r="A14" s="29"/>
      <c r="B14" s="29"/>
      <c r="C14" s="30"/>
      <c r="D14" s="29"/>
      <c r="E14" s="29"/>
      <c r="F14" s="29"/>
      <c r="G14" s="29"/>
      <c r="H14" s="29"/>
      <c r="I14" s="29"/>
      <c r="J14" s="45" t="s">
        <v>47</v>
      </c>
      <c r="K14" s="46"/>
      <c r="L14" s="46"/>
    </row>
    <row r="15" spans="1:12" ht="24.95" customHeight="1" thickBot="1" x14ac:dyDescent="0.35">
      <c r="C15" s="49" t="s">
        <v>49</v>
      </c>
      <c r="D15" s="29"/>
      <c r="E15" s="44">
        <v>2025</v>
      </c>
      <c r="F15" s="29"/>
      <c r="G15" s="29"/>
      <c r="H15" s="29"/>
      <c r="I15" s="29"/>
      <c r="J15" s="47" t="s">
        <v>48</v>
      </c>
      <c r="K15" s="47" t="s">
        <v>19</v>
      </c>
      <c r="L15" s="47" t="s">
        <v>50</v>
      </c>
    </row>
    <row r="16" spans="1:12" ht="24.95" customHeight="1" thickBot="1" x14ac:dyDescent="0.35">
      <c r="A16" s="33">
        <v>2025</v>
      </c>
      <c r="C16" s="49" t="s">
        <v>59</v>
      </c>
      <c r="D16" s="29"/>
      <c r="E16" s="44" t="s">
        <v>46</v>
      </c>
      <c r="F16" s="29"/>
      <c r="J16" s="43">
        <f>'DATOS ENTRADA'!D5</f>
        <v>4</v>
      </c>
      <c r="K16" s="43">
        <f>'DATOS ENTRADA'!E5</f>
        <v>2029</v>
      </c>
      <c r="L16" s="48">
        <f>'DATOS ENTRADA'!F5</f>
        <v>0.14000000000000001</v>
      </c>
    </row>
    <row r="17" spans="1:7" ht="24.95" customHeight="1" x14ac:dyDescent="0.3">
      <c r="A17" s="33"/>
      <c r="C17" s="29"/>
      <c r="D17" s="29"/>
      <c r="E17" s="29"/>
      <c r="F17" s="29"/>
    </row>
    <row r="18" spans="1:7" ht="24.95" customHeight="1" thickBot="1" x14ac:dyDescent="0.35">
      <c r="A18" s="33">
        <v>2026</v>
      </c>
      <c r="C18" s="31" t="s">
        <v>17</v>
      </c>
      <c r="D18" s="32"/>
      <c r="E18" s="32"/>
    </row>
    <row r="19" spans="1:7" ht="24.95" customHeight="1" thickTop="1" thickBot="1" x14ac:dyDescent="0.45">
      <c r="A19" s="33">
        <v>2027</v>
      </c>
      <c r="C19" s="34" t="s">
        <v>18</v>
      </c>
      <c r="D19" s="32"/>
      <c r="E19" s="35">
        <f>IF(K$16=2025,+K$6+K$7*(($J$16-1)/12),IF(K$16=2026,+K$6+K$7+K$8*(($J$16-1)/12),IF(K$16=2027,+K$6+K$7+K$8+K$9*(($J$16-1)/12),IF(K$16=2028,+K$6+K$7+K$8+K$9+K$10*(($J$16-1)/12),IF(K$16=2029,+K$6+K$7+K$8+K$9+K$10+K$11*(($J$16-1)/12),IF(K$16=2030,+K$6+K$7+K$8+K$9+K$10+K$11+K$12*(($J$16-1)/12),"ELIGE AÑO"))))))</f>
        <v>8422.0352626378626</v>
      </c>
    </row>
    <row r="20" spans="1:7" ht="24.95" customHeight="1" thickTop="1" x14ac:dyDescent="0.3">
      <c r="A20" s="33">
        <v>2028</v>
      </c>
      <c r="C20" s="36" t="s">
        <v>16</v>
      </c>
      <c r="D20" s="32"/>
      <c r="E20" s="32"/>
    </row>
    <row r="21" spans="1:7" ht="24.95" customHeight="1" x14ac:dyDescent="0.4">
      <c r="A21" s="33">
        <v>2029</v>
      </c>
      <c r="C21" s="32"/>
      <c r="D21" s="32"/>
      <c r="E21" s="32"/>
      <c r="G21" s="37"/>
    </row>
    <row r="22" spans="1:7" ht="24.95" customHeight="1" thickBot="1" x14ac:dyDescent="0.3">
      <c r="A22" s="33">
        <v>2030</v>
      </c>
      <c r="C22" s="147" t="s">
        <v>31</v>
      </c>
      <c r="D22" s="32"/>
      <c r="E22" s="32"/>
    </row>
    <row r="23" spans="1:7" ht="24.95" customHeight="1" thickTop="1" thickBot="1" x14ac:dyDescent="0.45">
      <c r="A23" s="33"/>
      <c r="C23" s="148"/>
      <c r="D23" s="32"/>
      <c r="E23" s="35">
        <f>(IF(K$16=2025,+F$6*12+F$7*($J$16-1),IF(K$16=2026,+F$6*12+F$7*12+F$8*($J$16-1),IF(K$16=2027,+F$6*12+F$7*12+F$8*12+F$9*($J$16-1),IF(K$16=2028,+F$6*12+F$7*12+F$8*12+F$9*12+F$10*($J$16-1),IF(K$16=2029,+F$6*12+F$7*12+F$8*12+F$9*12+F$10*12+F$11*($J$16-1),IF(K$16=2030,+F$6*12+F$7*12+F$8*12+F$9*12+F$10*12+F$11*12+F$12*($J$16-1),"ELIGE AÑO"))))))/350*(1-L16))</f>
        <v>160.47315707348653</v>
      </c>
    </row>
    <row r="24" spans="1:7" ht="24.95" customHeight="1" thickTop="1" x14ac:dyDescent="0.25">
      <c r="C24" s="149"/>
      <c r="D24" s="32"/>
      <c r="E24" s="32"/>
    </row>
    <row r="25" spans="1:7" ht="24.95" customHeight="1" x14ac:dyDescent="0.25">
      <c r="C25" s="39" t="s">
        <v>29</v>
      </c>
      <c r="D25" s="32"/>
      <c r="E25" s="32"/>
    </row>
    <row r="26" spans="1:7" ht="24.95" customHeight="1" x14ac:dyDescent="0.25">
      <c r="C26" s="32"/>
      <c r="D26" s="32"/>
      <c r="E26" s="32"/>
    </row>
    <row r="27" spans="1:7" ht="24.95" customHeight="1" thickBot="1" x14ac:dyDescent="0.3">
      <c r="C27" s="147" t="s">
        <v>32</v>
      </c>
      <c r="D27" s="32"/>
      <c r="E27" s="32"/>
    </row>
    <row r="28" spans="1:7" ht="24.95" customHeight="1" thickTop="1" thickBot="1" x14ac:dyDescent="0.45">
      <c r="C28" s="148"/>
      <c r="D28" s="32"/>
      <c r="E28" s="40">
        <f>E19/(E23*14)</f>
        <v>3.7487512447691995</v>
      </c>
    </row>
    <row r="29" spans="1:7" ht="15.75" thickTop="1" x14ac:dyDescent="0.25">
      <c r="C29" s="149"/>
      <c r="D29" s="32"/>
      <c r="E29" s="32"/>
    </row>
    <row r="30" spans="1:7" x14ac:dyDescent="0.25">
      <c r="C30" s="41" t="s">
        <v>33</v>
      </c>
    </row>
    <row r="32" spans="1:7" x14ac:dyDescent="0.25">
      <c r="A32" s="42">
        <v>0.12</v>
      </c>
    </row>
    <row r="33" spans="1:1" x14ac:dyDescent="0.25">
      <c r="A33" s="42">
        <v>0.13</v>
      </c>
    </row>
    <row r="34" spans="1:1" x14ac:dyDescent="0.25">
      <c r="A34" s="42">
        <v>0.14000000000000001</v>
      </c>
    </row>
    <row r="35" spans="1:1" x14ac:dyDescent="0.25">
      <c r="A35" s="42">
        <v>0.15</v>
      </c>
    </row>
    <row r="42" spans="1:1" x14ac:dyDescent="0.25">
      <c r="A42" s="33">
        <v>1</v>
      </c>
    </row>
    <row r="43" spans="1:1" x14ac:dyDescent="0.25">
      <c r="A43" s="33">
        <v>2</v>
      </c>
    </row>
    <row r="44" spans="1:1" x14ac:dyDescent="0.25">
      <c r="A44" s="33">
        <v>3</v>
      </c>
    </row>
    <row r="45" spans="1:1" x14ac:dyDescent="0.25">
      <c r="A45" s="33">
        <v>4</v>
      </c>
    </row>
    <row r="46" spans="1:1" x14ac:dyDescent="0.25">
      <c r="A46" s="33">
        <v>5</v>
      </c>
    </row>
    <row r="47" spans="1:1" x14ac:dyDescent="0.25">
      <c r="A47" s="33">
        <v>6</v>
      </c>
    </row>
    <row r="48" spans="1:1" x14ac:dyDescent="0.25">
      <c r="A48" s="33">
        <v>7</v>
      </c>
    </row>
    <row r="49" spans="1:1" x14ac:dyDescent="0.25">
      <c r="A49" s="33">
        <v>8</v>
      </c>
    </row>
    <row r="50" spans="1:1" x14ac:dyDescent="0.25">
      <c r="A50" s="33">
        <v>9</v>
      </c>
    </row>
    <row r="51" spans="1:1" x14ac:dyDescent="0.25">
      <c r="A51" s="33">
        <v>10</v>
      </c>
    </row>
    <row r="52" spans="1:1" x14ac:dyDescent="0.25">
      <c r="A52" s="33">
        <v>11</v>
      </c>
    </row>
    <row r="53" spans="1:1" x14ac:dyDescent="0.25">
      <c r="A53" s="33">
        <v>12</v>
      </c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>
        <v>2024</v>
      </c>
    </row>
    <row r="62" spans="1:1" x14ac:dyDescent="0.25">
      <c r="A62" s="33">
        <v>2025</v>
      </c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</sheetData>
  <sheetProtection sheet="1" objects="1" scenarios="1"/>
  <mergeCells count="4">
    <mergeCell ref="A1:E1"/>
    <mergeCell ref="F1:L1"/>
    <mergeCell ref="C22:C24"/>
    <mergeCell ref="C27:C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A38" sqref="A38"/>
    </sheetView>
  </sheetViews>
  <sheetFormatPr baseColWidth="10" defaultRowHeight="18.75" x14ac:dyDescent="0.25"/>
  <cols>
    <col min="1" max="1" width="75.5703125" style="50" bestFit="1" customWidth="1"/>
    <col min="2" max="3" width="16.7109375" style="50" customWidth="1"/>
    <col min="4" max="4" width="3.85546875" style="50" customWidth="1"/>
    <col min="5" max="6" width="16.7109375" style="50" customWidth="1"/>
    <col min="7" max="7" width="12.7109375" style="51" customWidth="1"/>
    <col min="8" max="9" width="15.7109375" style="51" customWidth="1"/>
    <col min="10" max="10" width="35.7109375" style="51" customWidth="1"/>
    <col min="11" max="16384" width="11.42578125" style="51"/>
  </cols>
  <sheetData>
    <row r="1" spans="1:10" ht="24.95" customHeight="1" x14ac:dyDescent="0.25">
      <c r="A1" s="61" t="s">
        <v>36</v>
      </c>
      <c r="B1" s="55"/>
      <c r="C1" s="55"/>
      <c r="D1" s="55"/>
      <c r="E1" s="55"/>
      <c r="F1" s="55"/>
    </row>
    <row r="2" spans="1:10" ht="24.95" customHeight="1" thickBot="1" x14ac:dyDescent="0.3">
      <c r="A2" s="61"/>
      <c r="B2" s="55"/>
      <c r="C2" s="55"/>
      <c r="D2" s="55"/>
      <c r="E2" s="55"/>
      <c r="F2" s="55"/>
    </row>
    <row r="3" spans="1:10" ht="24.95" customHeight="1" thickBot="1" x14ac:dyDescent="0.3">
      <c r="A3" s="122" t="s">
        <v>45</v>
      </c>
      <c r="B3" s="150" t="s">
        <v>67</v>
      </c>
      <c r="C3" s="151"/>
      <c r="D3" s="79"/>
      <c r="E3" s="152" t="s">
        <v>68</v>
      </c>
      <c r="F3" s="152"/>
      <c r="H3" s="52" t="s">
        <v>47</v>
      </c>
      <c r="I3" s="53"/>
      <c r="J3" s="54"/>
    </row>
    <row r="4" spans="1:10" ht="24.95" customHeight="1" thickBot="1" x14ac:dyDescent="0.3">
      <c r="A4" s="56" t="s">
        <v>59</v>
      </c>
      <c r="B4" s="81" t="s">
        <v>44</v>
      </c>
      <c r="C4" s="82" t="s">
        <v>46</v>
      </c>
      <c r="D4" s="79"/>
      <c r="E4" s="84" t="s">
        <v>44</v>
      </c>
      <c r="F4" s="85" t="s">
        <v>46</v>
      </c>
      <c r="H4" s="47" t="s">
        <v>48</v>
      </c>
      <c r="I4" s="47" t="s">
        <v>19</v>
      </c>
      <c r="J4" s="47" t="s">
        <v>50</v>
      </c>
    </row>
    <row r="5" spans="1:10" ht="24.95" customHeight="1" thickBot="1" x14ac:dyDescent="0.3">
      <c r="A5" s="71" t="s">
        <v>60</v>
      </c>
      <c r="B5" s="72">
        <f>+'OPCIÓN 4_1_2 INICIO CLAUS_2024'!$K$6</f>
        <v>-1.7053025658242404E-13</v>
      </c>
      <c r="C5" s="72">
        <f>+'OPCIÓN 4_2 INICIO CLAUS_2024'!$K$6</f>
        <v>1238.4020247992598</v>
      </c>
      <c r="D5" s="74"/>
      <c r="E5" s="72">
        <f>+'OPCIÓN 4_1_2 INICIO CLAUS_2025'!$K$6</f>
        <v>0</v>
      </c>
      <c r="F5" s="72">
        <f>+'OPCIÓN 4_2 INICIO CLAUS_2025'!$K$6</f>
        <v>0</v>
      </c>
      <c r="H5" s="43">
        <f>'DATOS ENTRADA'!$D$5</f>
        <v>4</v>
      </c>
      <c r="I5" s="43">
        <f>'DATOS ENTRADA'!$E$5</f>
        <v>2029</v>
      </c>
      <c r="J5" s="48">
        <f>'DATOS ENTRADA'!$F$5</f>
        <v>0.14000000000000001</v>
      </c>
    </row>
    <row r="6" spans="1:10" ht="24.95" customHeight="1" x14ac:dyDescent="0.25">
      <c r="A6" s="71" t="s">
        <v>61</v>
      </c>
      <c r="B6" s="72">
        <f>IF($I$5=2025,(+'OPCIÓN 4_1_2 INICIO CLAUS_2024'!$K$7)*(H5-1)/12,+'OPCIÓN 4_1_2 INICIO CLAUS_2024'!$K$7)</f>
        <v>0</v>
      </c>
      <c r="C6" s="72">
        <f>IF($I$5=2025,(+'OPCIÓN 4_2 INICIO CLAUS_2024'!$K$7)*(H5-1)/12,+'OPCIÓN 4_2 INICIO CLAUS_2024'!$K$7)</f>
        <v>1546.8405449196598</v>
      </c>
      <c r="D6" s="74"/>
      <c r="E6" s="72">
        <f>IF($I$5=2025,(+'OPCIÓN 4_1_2 INICIO CLAUS_2025'!$K$7)*(H5-1)/12,+'OPCIÓN 4_1_2 INICIO CLAUS_2025'!$K$7)</f>
        <v>0</v>
      </c>
      <c r="F6" s="72">
        <f>IF($I$5=2025,(+'OPCIÓN 4_2 INICIO CLAUS_2025'!$K$7)*(H5-1)/12,+'OPCIÓN 4_2 INICIO CLAUS_2025'!$K$7)</f>
        <v>1546.8405449196598</v>
      </c>
    </row>
    <row r="7" spans="1:10" ht="24.95" customHeight="1" x14ac:dyDescent="0.25">
      <c r="A7" s="71" t="s">
        <v>62</v>
      </c>
      <c r="B7" s="72">
        <f>IF($I$5&lt;2026,0,IF($I$5=2026,(+'OPCIÓN 4_1_2 INICIO CLAUS_2024'!$K8)*($H$5-1)/12,+'OPCIÓN 4_1_2 INICIO CLAUS_2024'!$K8))</f>
        <v>172.62586707813432</v>
      </c>
      <c r="C7" s="72">
        <f>IF($I$5&lt;2026,0,IF($I$5=2026,(+'OPCIÓN 4_2 INICIO CLAUS_2024'!$K8)*($H$5-1)/12,+'OPCIÓN 4_2 INICIO CLAUS_2024'!$K8))</f>
        <v>1796.822943830178</v>
      </c>
      <c r="D7" s="74"/>
      <c r="E7" s="72">
        <f>IF($I$5&lt;2026,0,IF($I$5=2026,(+'OPCIÓN 4_1_2 INICIO CLAUS_2025'!$K8)*($H$5-1)/12,+'OPCIÓN 4_1_2 INICIO CLAUS_2025'!$K8))</f>
        <v>0</v>
      </c>
      <c r="F7" s="72">
        <f>IF($I$5&lt;2026,0,IF($I$5=2026,(+'OPCIÓN 4_2 INICIO CLAUS_2025'!$K8)*($H$5-1)/12,+'OPCIÓN 4_2 INICIO CLAUS_2025'!$K8))</f>
        <v>1796.822943830178</v>
      </c>
    </row>
    <row r="8" spans="1:10" ht="24.95" customHeight="1" x14ac:dyDescent="0.25">
      <c r="A8" s="71" t="s">
        <v>63</v>
      </c>
      <c r="B8" s="72">
        <f>IF($I$5&lt;2027,0,IF($I$5=2027,(+'OPCIÓN 4_1_2 INICIO CLAUS_2024'!$K9)*($H$5-1)/12,+'OPCIÓN 4_1_2 INICIO CLAUS_2024'!$K9))</f>
        <v>365.70809223424851</v>
      </c>
      <c r="C8" s="72">
        <f>IF($I$5&lt;2027,0,IF($I$5=2027,(+'OPCIÓN 4_2 INICIO CLAUS_2024'!$K9)*($H$5-1)/12,+'OPCIÓN 4_2 INICIO CLAUS_2024'!$K9))</f>
        <v>2064.2752290401304</v>
      </c>
      <c r="D8" s="74"/>
      <c r="E8" s="72">
        <f>IF($I$5&lt;2027,0,IF($I$5=2027,(+'OPCIÓN 4_1_2 INICIO CLAUS_2025'!$K9)*($H$5-1)/12,+'OPCIÓN 4_1_2 INICIO CLAUS_2025'!$K9))</f>
        <v>3.4106051316484809E-13</v>
      </c>
      <c r="F8" s="72">
        <f>IF($I$5&lt;2027,0,IF($I$5=2027,(+'OPCIÓN 4_2 INICIO CLAUS_2025'!$K9)*($H$5-1)/12,+'OPCIÓN 4_2 INICIO CLAUS_2025'!$K9))</f>
        <v>2064.2752290401304</v>
      </c>
    </row>
    <row r="9" spans="1:10" ht="24.95" customHeight="1" x14ac:dyDescent="0.25">
      <c r="A9" s="71" t="s">
        <v>64</v>
      </c>
      <c r="B9" s="72">
        <f>IF($I$5&lt;2028,0,IF($I$5=2028,(+'OPCIÓN 4_1_2 INICIO CLAUS_2024'!$K10)*($H$5-1)/12,+'OPCIÓN 4_1_2 INICIO CLAUS_2024'!$K10))</f>
        <v>573.8726529022224</v>
      </c>
      <c r="C9" s="72">
        <f>IF($I$5&lt;2028,0,IF($I$5=2028,(+'OPCIÓN 4_2 INICIO CLAUS_2024'!$K10)*($H$5-1)/12,+'OPCIÓN 4_2 INICIO CLAUS_2024'!$K10))</f>
        <v>2350.1918511630747</v>
      </c>
      <c r="D9" s="74"/>
      <c r="E9" s="72">
        <f>IF($I$5&lt;2028,0,IF($I$5=2028,(+'OPCIÓN 4_1_2 INICIO CLAUS_2025'!$K10)*($H$5-1)/12,+'OPCIÓN 4_1_2 INICIO CLAUS_2025'!$K10))</f>
        <v>0</v>
      </c>
      <c r="F9" s="72">
        <f>IF($I$5&lt;2028,0,IF($I$5=2028,(+'OPCIÓN 4_2 INICIO CLAUS_2025'!$K10)*($H$5-1)/12,+'OPCIÓN 4_2 INICIO CLAUS_2025'!$K10))</f>
        <v>2350.1918511630747</v>
      </c>
    </row>
    <row r="10" spans="1:10" ht="24.95" customHeight="1" x14ac:dyDescent="0.25">
      <c r="A10" s="71" t="s">
        <v>65</v>
      </c>
      <c r="B10" s="72">
        <f>IF($I$5&lt;2029,0,IF($I$5=2029,(+'OPCIÓN 4_1_2 INICIO CLAUS_2024'!$K11)*($H$5-1)/12,+'OPCIÓN 4_1_2 INICIO CLAUS_2024'!$K11))</f>
        <v>199.50315357264131</v>
      </c>
      <c r="C10" s="72">
        <f>IF($I$5&lt;2029,0,IF($I$5=2029,(+'OPCIÓN 4_2 INICIO CLAUS_2024'!$K11)*($H$5-1)/12,+'OPCIÓN 4_2 INICIO CLAUS_2024'!$K11))</f>
        <v>663.90469368481945</v>
      </c>
      <c r="D10" s="74"/>
      <c r="E10" s="72">
        <f>IF($I$5&lt;2029,0,IF($I$5=2029,(+'OPCIÓN 4_1_2 INICIO CLAUS_2025'!$K11)*($H$5-1)/12,+'OPCIÓN 4_1_2 INICIO CLAUS_2025'!$K11))</f>
        <v>0</v>
      </c>
      <c r="F10" s="72">
        <f>IF($I$5&lt;2029,0,IF($I$5=2029,(+'OPCIÓN 4_2 INICIO CLAUS_2025'!$K11)*($H$5-1)/12,+'OPCIÓN 4_2 INICIO CLAUS_2025'!$K11))</f>
        <v>663.90469368481945</v>
      </c>
    </row>
    <row r="11" spans="1:10" ht="24.95" customHeight="1" x14ac:dyDescent="0.25">
      <c r="A11" s="71" t="s">
        <v>66</v>
      </c>
      <c r="B11" s="72">
        <f>IF($I$5&lt;2030,0,IF($I$5=2030,(+'OPCIÓN 4_1_2 INICIO CLAUS_2024'!$K12)*($H$5-1)/12,+'OPCIÓN 4_1_2 INICIO CLAUS_2024'!$K12))</f>
        <v>0</v>
      </c>
      <c r="C11" s="72">
        <f>IF($I$5&lt;2030,0,IF($I$5=2030,(+'OPCIÓN 4_2 INICIO CLAUS_2024'!$K12)*($H$5-1)/12,+'OPCIÓN 4_2 INICIO CLAUS_2024'!$K12))</f>
        <v>0</v>
      </c>
      <c r="D11" s="74"/>
      <c r="E11" s="72">
        <f>IF($I$5&lt;2030,0,IF($I$5=2030,(+'OPCIÓN 4_1_2 INICIO CLAUS_2025'!$K12)*($H$5-1)/12,+'OPCIÓN 4_1_2 INICIO CLAUS_2025'!$K12))</f>
        <v>0</v>
      </c>
      <c r="F11" s="72">
        <f>IF($I$5&lt;2030,0,IF($I$5=2030,(+'OPCIÓN 4_2 INICIO CLAUS_2025'!$K12)*($H$5-1)/12,+'OPCIÓN 4_2 INICIO CLAUS_2025'!$K12))</f>
        <v>0</v>
      </c>
    </row>
    <row r="12" spans="1:10" ht="24.95" customHeight="1" x14ac:dyDescent="0.25">
      <c r="A12" s="70" t="s">
        <v>37</v>
      </c>
      <c r="B12" s="73">
        <f>SUM(B5:B11)</f>
        <v>1311.7097657872464</v>
      </c>
      <c r="C12" s="73">
        <f>SUM(C5:C11)</f>
        <v>9660.437287437122</v>
      </c>
      <c r="D12" s="75"/>
      <c r="E12" s="73">
        <f>SUM(E5:E11)</f>
        <v>3.4106051316484809E-13</v>
      </c>
      <c r="F12" s="73">
        <f>SUM(F5:F11)</f>
        <v>8422.0352626378626</v>
      </c>
    </row>
    <row r="13" spans="1:10" ht="24.95" customHeight="1" x14ac:dyDescent="0.25">
      <c r="A13" s="70"/>
      <c r="B13" s="73"/>
      <c r="C13" s="73"/>
      <c r="D13" s="75"/>
      <c r="E13" s="73"/>
      <c r="F13" s="73"/>
    </row>
    <row r="14" spans="1:10" ht="24.95" customHeight="1" x14ac:dyDescent="0.25">
      <c r="A14" s="70" t="s">
        <v>42</v>
      </c>
      <c r="B14" s="73">
        <f>+'OPCIÓN 4_1_2 INICIO CLAUS_2024'!$E$23</f>
        <v>104.375257968694</v>
      </c>
      <c r="C14" s="73">
        <f>+'OPCIÓN 4_2 INICIO CLAUS_2024'!$E$23</f>
        <v>181.09494387037975</v>
      </c>
      <c r="D14" s="75"/>
      <c r="E14" s="73">
        <f>+'OPCIÓN 4_1_2 INICIO CLAUS_2025'!$E$23</f>
        <v>62.15091205343461</v>
      </c>
      <c r="F14" s="73">
        <f>+'OPCIÓN 4_2 INICIO CLAUS_2025'!$E$23</f>
        <v>160.47315707348653</v>
      </c>
    </row>
    <row r="15" spans="1:10" ht="24.95" customHeight="1" x14ac:dyDescent="0.25">
      <c r="A15" s="62" t="s">
        <v>38</v>
      </c>
      <c r="B15" s="65"/>
      <c r="C15" s="65"/>
      <c r="D15" s="76"/>
      <c r="E15" s="65"/>
      <c r="F15" s="65"/>
    </row>
    <row r="16" spans="1:10" ht="24.95" customHeight="1" x14ac:dyDescent="0.25">
      <c r="A16" s="62"/>
      <c r="B16" s="65"/>
      <c r="C16" s="65"/>
      <c r="D16" s="76"/>
      <c r="E16" s="65"/>
      <c r="F16" s="65"/>
    </row>
    <row r="17" spans="1:7" ht="24.95" customHeight="1" x14ac:dyDescent="0.25">
      <c r="A17" s="86" t="s">
        <v>32</v>
      </c>
      <c r="B17" s="73">
        <f>+'OPCIÓN 4_1_2 INICIO CLAUS_2024'!$E$28</f>
        <v>0.89766058089352163</v>
      </c>
      <c r="C17" s="73">
        <f>+'OPCIÓN 4_2 INICIO CLAUS_2024'!$E$28</f>
        <v>3.8103285495967958</v>
      </c>
      <c r="D17" s="75"/>
      <c r="E17" s="73">
        <f>+'OPCIÓN 4_1_2 INICIO CLAUS_2025'!$E$28</f>
        <v>3.9197277113352196E-16</v>
      </c>
      <c r="F17" s="73">
        <f>+'OPCIÓN 4_2 INICIO CLAUS_2025'!$E$28</f>
        <v>3.7487512447691995</v>
      </c>
    </row>
    <row r="18" spans="1:7" ht="30" customHeight="1" x14ac:dyDescent="0.25">
      <c r="A18" s="66" t="s">
        <v>69</v>
      </c>
      <c r="B18" s="63"/>
      <c r="C18" s="64"/>
      <c r="D18" s="80"/>
      <c r="E18" s="64"/>
      <c r="F18" s="64"/>
    </row>
    <row r="19" spans="1:7" ht="24.95" customHeight="1" x14ac:dyDescent="0.25">
      <c r="A19" s="91"/>
    </row>
    <row r="20" spans="1:7" ht="24.95" customHeight="1" x14ac:dyDescent="0.25">
      <c r="A20" s="57" t="s">
        <v>75</v>
      </c>
      <c r="B20" s="58"/>
      <c r="C20" s="58"/>
      <c r="D20" s="58"/>
      <c r="E20" s="59"/>
      <c r="F20" s="60"/>
      <c r="G20" s="51" t="s">
        <v>77</v>
      </c>
    </row>
    <row r="21" spans="1:7" ht="24.95" customHeight="1" x14ac:dyDescent="0.25"/>
    <row r="22" spans="1:7" ht="24.95" customHeight="1" x14ac:dyDescent="0.25">
      <c r="C22" s="134">
        <v>2024</v>
      </c>
      <c r="D22" s="69"/>
      <c r="E22" s="69"/>
      <c r="F22" s="83">
        <v>2025</v>
      </c>
    </row>
    <row r="23" spans="1:7" ht="24.95" customHeight="1" x14ac:dyDescent="0.25">
      <c r="A23" s="140" t="s">
        <v>72</v>
      </c>
      <c r="B23" s="138"/>
      <c r="C23" s="130">
        <f>C12-B12</f>
        <v>8348.7275216498747</v>
      </c>
      <c r="D23" s="87"/>
      <c r="E23" s="89"/>
      <c r="F23" s="77">
        <f>+F12-$E12</f>
        <v>8422.0352626378626</v>
      </c>
    </row>
    <row r="24" spans="1:7" ht="24.95" customHeight="1" x14ac:dyDescent="0.25">
      <c r="A24" s="140" t="s">
        <v>73</v>
      </c>
      <c r="B24" s="138"/>
      <c r="C24" s="130">
        <f>C14-B14</f>
        <v>76.71968590168575</v>
      </c>
      <c r="D24" s="87"/>
      <c r="E24" s="89"/>
      <c r="F24" s="77">
        <f>+F14-$E14</f>
        <v>98.322245020051923</v>
      </c>
    </row>
    <row r="25" spans="1:7" ht="24.95" customHeight="1" x14ac:dyDescent="0.25">
      <c r="A25" s="140" t="s">
        <v>74</v>
      </c>
      <c r="B25" s="139"/>
      <c r="C25" s="131">
        <f>C23/(C24*14)</f>
        <v>7.7729421478867788</v>
      </c>
      <c r="D25" s="88"/>
      <c r="E25" s="90"/>
      <c r="F25" s="78">
        <f>F23/(F24*14)</f>
        <v>6.1183910844243883</v>
      </c>
    </row>
    <row r="27" spans="1:7" s="124" customFormat="1" ht="24.95" customHeight="1" x14ac:dyDescent="0.25">
      <c r="A27" s="125" t="s">
        <v>76</v>
      </c>
      <c r="B27" s="126"/>
      <c r="C27" s="126"/>
      <c r="D27" s="126"/>
      <c r="E27" s="127"/>
      <c r="F27" s="128"/>
      <c r="G27" s="124" t="s">
        <v>78</v>
      </c>
    </row>
    <row r="28" spans="1:7" s="124" customFormat="1" ht="24.95" customHeight="1" x14ac:dyDescent="0.25">
      <c r="A28" s="123"/>
      <c r="B28" s="123"/>
      <c r="C28" s="123"/>
      <c r="D28" s="123"/>
      <c r="E28" s="123"/>
      <c r="F28" s="123"/>
    </row>
    <row r="29" spans="1:7" s="124" customFormat="1" ht="24.95" customHeight="1" x14ac:dyDescent="0.25">
      <c r="A29" s="123"/>
      <c r="B29" s="150">
        <v>2024</v>
      </c>
      <c r="C29" s="151"/>
      <c r="D29" s="129"/>
      <c r="E29" s="129"/>
      <c r="F29" s="134">
        <v>2025</v>
      </c>
    </row>
    <row r="30" spans="1:7" s="124" customFormat="1" ht="24.95" customHeight="1" x14ac:dyDescent="0.25">
      <c r="A30" s="123"/>
      <c r="B30" s="132" t="s">
        <v>44</v>
      </c>
      <c r="C30" s="133" t="s">
        <v>46</v>
      </c>
      <c r="D30" s="129"/>
      <c r="E30" s="129"/>
      <c r="F30" s="135" t="s">
        <v>46</v>
      </c>
    </row>
    <row r="31" spans="1:7" s="124" customFormat="1" ht="24.95" customHeight="1" x14ac:dyDescent="0.25">
      <c r="A31" s="140" t="s">
        <v>72</v>
      </c>
      <c r="B31" s="130">
        <f>B12-E12</f>
        <v>1311.7097657872459</v>
      </c>
      <c r="C31" s="130">
        <f>C12-E12</f>
        <v>9660.437287437122</v>
      </c>
      <c r="D31" s="136"/>
      <c r="E31" s="138"/>
      <c r="F31" s="130">
        <f>F12-E12</f>
        <v>8422.0352626378626</v>
      </c>
    </row>
    <row r="32" spans="1:7" s="124" customFormat="1" ht="24.95" customHeight="1" x14ac:dyDescent="0.25">
      <c r="A32" s="140" t="s">
        <v>73</v>
      </c>
      <c r="B32" s="130">
        <f>B14-E14</f>
        <v>42.224345915259391</v>
      </c>
      <c r="C32" s="130">
        <f>C14-E14</f>
        <v>118.94403181694514</v>
      </c>
      <c r="D32" s="136"/>
      <c r="E32" s="138"/>
      <c r="F32" s="130">
        <f>F14-E14</f>
        <v>98.322245020051923</v>
      </c>
    </row>
    <row r="33" spans="1:6" s="124" customFormat="1" ht="24.95" customHeight="1" x14ac:dyDescent="0.25">
      <c r="A33" s="140" t="s">
        <v>74</v>
      </c>
      <c r="B33" s="131">
        <f>B31/(B32*14)</f>
        <v>2.2189462659083898</v>
      </c>
      <c r="C33" s="131">
        <f>C31/(C32*14)</f>
        <v>5.8013102824603706</v>
      </c>
      <c r="D33" s="137"/>
      <c r="E33" s="139"/>
      <c r="F33" s="131">
        <f>F31/(F32*14)</f>
        <v>6.1183910844243883</v>
      </c>
    </row>
    <row r="36" spans="1:6" x14ac:dyDescent="0.25">
      <c r="A36" s="105" t="s">
        <v>43</v>
      </c>
    </row>
  </sheetData>
  <sheetProtection sheet="1" objects="1" scenarios="1"/>
  <mergeCells count="3">
    <mergeCell ref="B3:C3"/>
    <mergeCell ref="E3:F3"/>
    <mergeCell ref="B29:C2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</vt:lpstr>
      <vt:lpstr>DATOS ENTRADA</vt:lpstr>
      <vt:lpstr>OPCIÓN 4_1_2 INICIO CLAUS_2024</vt:lpstr>
      <vt:lpstr>OPCIÓN 4_2 INICIO CLAUS_2024</vt:lpstr>
      <vt:lpstr>OPCIÓN 4_1_2 INICIO CLAUS_2025</vt:lpstr>
      <vt:lpstr>OPCIÓN 4_2 INICIO CLAUS_2025</vt:lpstr>
      <vt:lpstr>COMPARATIVA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alejandroagarciagara@gmail.com</cp:lastModifiedBy>
  <cp:lastPrinted>2023-07-17T11:38:16Z</cp:lastPrinted>
  <dcterms:created xsi:type="dcterms:W3CDTF">2023-07-12T08:08:41Z</dcterms:created>
  <dcterms:modified xsi:type="dcterms:W3CDTF">2023-07-31T11:40:55Z</dcterms:modified>
</cp:coreProperties>
</file>